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pivotCache/pivotCacheDefinition42.xml" ContentType="application/vnd.openxmlformats-officedocument.spreadsheetml.pivotCacheDefinition+xml"/>
  <Override PartName="/xl/pivotCache/pivotCacheDefinition43.xml" ContentType="application/vnd.openxmlformats-officedocument.spreadsheetml.pivotCacheDefinition+xml"/>
  <Override PartName="/xl/pivotCache/pivotCacheDefinition44.xml" ContentType="application/vnd.openxmlformats-officedocument.spreadsheetml.pivotCacheDefinition+xml"/>
  <Override PartName="/xl/pivotCache/pivotCacheDefinition45.xml" ContentType="application/vnd.openxmlformats-officedocument.spreadsheetml.pivotCacheDefinition+xml"/>
  <Override PartName="/xl/pivotCache/pivotCacheDefinition46.xml" ContentType="application/vnd.openxmlformats-officedocument.spreadsheetml.pivotCacheDefinition+xml"/>
  <Override PartName="/xl/pivotCache/pivotCacheDefinition47.xml" ContentType="application/vnd.openxmlformats-officedocument.spreadsheetml.pivotCacheDefinition+xml"/>
  <Override PartName="/xl/pivotCache/pivotCacheDefinition4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12.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13.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14.xml" ContentType="application/vnd.openxmlformats-officedocument.drawingml.chartshapes+xml"/>
  <Override PartName="/xl/charts/chart19.xml" ContentType="application/vnd.openxmlformats-officedocument.drawingml.chart+xml"/>
  <Override PartName="/xl/theme/themeOverride19.xml" ContentType="application/vnd.openxmlformats-officedocument.themeOverride+xml"/>
  <Override PartName="/xl/drawings/drawing15.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charts/chart21.xml" ContentType="application/vnd.openxmlformats-officedocument.drawingml.chart+xml"/>
  <Override PartName="/xl/theme/themeOverride21.xml" ContentType="application/vnd.openxmlformats-officedocument.themeOverride+xml"/>
  <Override PartName="/xl/drawings/drawing16.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17.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8.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drawings/drawing19.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https://nhsproviders1.sharepoint.com/sites/PolicyTeam/Shared Documents/5. Analysis/18. Winter/2021-22/Dashboard/"/>
    </mc:Choice>
  </mc:AlternateContent>
  <xr:revisionPtr revIDLastSave="38" documentId="8_{8BAAA9D8-1708-4279-A591-16F4F3829108}" xr6:coauthVersionLast="47" xr6:coauthVersionMax="47" xr10:uidLastSave="{EED4C752-5FEF-4072-9CE5-CC42B53372A7}"/>
  <workbookProtection workbookAlgorithmName="SHA-512" workbookHashValue="pObz8WNc6BCj+iUeU3Lo+OR0i2/4q/HkKKdCBIhDJmj3YKexy5U+mBWCk3ZTmxDXs8cyA0uiiEHoBNlxDfJAyw==" workbookSaltValue="SrT5VMQ3JnzVfS27w6Ajqg==" workbookSpinCount="100000" lockStructure="1"/>
  <bookViews>
    <workbookView xWindow="-28920" yWindow="6225" windowWidth="29040" windowHeight="15840" xr2:uid="{00000000-000D-0000-FFFF-FFFF00000000}"/>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COVID bed occ." sheetId="16" state="hidden" r:id="rId11"/>
    <sheet name="Delayed discharges" sheetId="17" state="hidden" r:id="rId12"/>
    <sheet name="Flu" sheetId="13" state="hidden" r:id="rId13"/>
    <sheet name="RSV" sheetId="15" state="hidden" r:id="rId14"/>
    <sheet name="Sheet2" sheetId="14" state="hidden" r:id="rId15"/>
  </sheets>
  <calcPr calcId="191029"/>
  <pivotCaches>
    <pivotCache cacheId="230" r:id="rId16"/>
    <pivotCache cacheId="233" r:id="rId17"/>
    <pivotCache cacheId="236" r:id="rId18"/>
    <pivotCache cacheId="239" r:id="rId19"/>
    <pivotCache cacheId="242" r:id="rId20"/>
    <pivotCache cacheId="245" r:id="rId21"/>
    <pivotCache cacheId="248" r:id="rId22"/>
    <pivotCache cacheId="251" r:id="rId23"/>
    <pivotCache cacheId="254" r:id="rId24"/>
    <pivotCache cacheId="257" r:id="rId25"/>
    <pivotCache cacheId="260" r:id="rId26"/>
    <pivotCache cacheId="263" r:id="rId27"/>
    <pivotCache cacheId="266" r:id="rId28"/>
    <pivotCache cacheId="269" r:id="rId29"/>
    <pivotCache cacheId="272" r:id="rId30"/>
    <pivotCache cacheId="275" r:id="rId31"/>
    <pivotCache cacheId="278" r:id="rId32"/>
    <pivotCache cacheId="281" r:id="rId33"/>
    <pivotCache cacheId="284" r:id="rId34"/>
    <pivotCache cacheId="287" r:id="rId35"/>
    <pivotCache cacheId="290" r:id="rId36"/>
    <pivotCache cacheId="293" r:id="rId37"/>
    <pivotCache cacheId="296" r:id="rId38"/>
    <pivotCache cacheId="299" r:id="rId39"/>
    <pivotCache cacheId="302" r:id="rId40"/>
    <pivotCache cacheId="305" r:id="rId41"/>
    <pivotCache cacheId="308" r:id="rId42"/>
    <pivotCache cacheId="311" r:id="rId43"/>
    <pivotCache cacheId="314" r:id="rId44"/>
    <pivotCache cacheId="317" r:id="rId45"/>
    <pivotCache cacheId="320" r:id="rId46"/>
    <pivotCache cacheId="323" r:id="rId47"/>
    <pivotCache cacheId="326" r:id="rId48"/>
    <pivotCache cacheId="329" r:id="rId49"/>
    <pivotCache cacheId="332" r:id="rId50"/>
    <pivotCache cacheId="335" r:id="rId51"/>
    <pivotCache cacheId="338" r:id="rId52"/>
    <pivotCache cacheId="341" r:id="rId53"/>
    <pivotCache cacheId="344" r:id="rId54"/>
    <pivotCache cacheId="347" r:id="rId55"/>
    <pivotCache cacheId="350" r:id="rId56"/>
    <pivotCache cacheId="353" r:id="rId57"/>
    <pivotCache cacheId="356" r:id="rId58"/>
    <pivotCache cacheId="359" r:id="rId59"/>
    <pivotCache cacheId="362" r:id="rId60"/>
    <pivotCache cacheId="365" r:id="rId61"/>
    <pivotCache cacheId="368" r:id="rId62"/>
    <pivotCache cacheId="371" r:id="rId63"/>
  </pivotCaches>
  <extLst>
    <ext xmlns:x15="http://schemas.microsoft.com/office/spreadsheetml/2010/11/main" uri="{FCE2AD5D-F65C-4FA6-A056-5C36A1767C68}">
      <x15:dataModel>
        <x15:modelTables>
          <x15:modelTable id="Winter daily sitreps_1df812bb-9fc3-4674-8d41-60c6726a8ef3" name="Winter daily sitreps" connection="e-base.nhsproviders.org"/>
          <x15:modelTable id="COVID-19 daily discharge sitreps_73aac49b-fe68-468c-8b77-562f4b5f0a76" name="COVID-19 daily discharge sitreps" connection="e-base.nhsproviders.org"/>
          <x15:modelTable id="Winter bed occ over 14 days" name="Winter bed occ over 14 days" connection="Connec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E6" i="17" l="1"/>
  <c r="E359" i="1" s="1"/>
  <c r="CE7" i="17"/>
  <c r="F359" i="1" s="1"/>
  <c r="CE8" i="17"/>
  <c r="G359" i="1" s="1"/>
  <c r="CE9" i="17"/>
  <c r="H359" i="1" s="1"/>
  <c r="CE10" i="17"/>
  <c r="I359" i="1" s="1"/>
  <c r="CE11" i="17"/>
  <c r="J359" i="1" s="1"/>
  <c r="CE12" i="17"/>
  <c r="K359" i="1" s="1"/>
  <c r="CE13" i="17"/>
  <c r="L359" i="1" s="1"/>
  <c r="CE14" i="17"/>
  <c r="M359" i="1" s="1"/>
  <c r="CE15" i="17"/>
  <c r="N359" i="1" s="1"/>
  <c r="CE16" i="17"/>
  <c r="O359" i="1" s="1"/>
  <c r="CE17" i="17"/>
  <c r="P359" i="1" s="1"/>
  <c r="CE5" i="17"/>
  <c r="D359" i="1" s="1"/>
  <c r="CD6" i="17"/>
  <c r="E358" i="1" s="1"/>
  <c r="CD7" i="17"/>
  <c r="F358" i="1" s="1"/>
  <c r="CD8" i="17"/>
  <c r="G358" i="1" s="1"/>
  <c r="CD9" i="17"/>
  <c r="H358" i="1" s="1"/>
  <c r="CD10" i="17"/>
  <c r="I358" i="1" s="1"/>
  <c r="CD11" i="17"/>
  <c r="J358" i="1" s="1"/>
  <c r="CD12" i="17"/>
  <c r="K358" i="1" s="1"/>
  <c r="CD13" i="17"/>
  <c r="L358" i="1" s="1"/>
  <c r="CD14" i="17"/>
  <c r="M358" i="1" s="1"/>
  <c r="CD15" i="17"/>
  <c r="N358" i="1" s="1"/>
  <c r="CD16" i="17"/>
  <c r="O358" i="1" s="1"/>
  <c r="CD17" i="17"/>
  <c r="P358" i="1" s="1"/>
  <c r="CD5" i="17"/>
  <c r="D358" i="1" s="1"/>
  <c r="CC6" i="17"/>
  <c r="E357" i="1" s="1"/>
  <c r="CC7" i="17"/>
  <c r="F357" i="1" s="1"/>
  <c r="CC8" i="17"/>
  <c r="G357" i="1" s="1"/>
  <c r="CC9" i="17"/>
  <c r="H357" i="1" s="1"/>
  <c r="CC10" i="17"/>
  <c r="I357" i="1" s="1"/>
  <c r="CC11" i="17"/>
  <c r="J357" i="1" s="1"/>
  <c r="CC12" i="17"/>
  <c r="K357" i="1" s="1"/>
  <c r="CC13" i="17"/>
  <c r="L357" i="1" s="1"/>
  <c r="CC14" i="17"/>
  <c r="M357" i="1" s="1"/>
  <c r="CC15" i="17"/>
  <c r="N357" i="1" s="1"/>
  <c r="CC16" i="17"/>
  <c r="O357" i="1" s="1"/>
  <c r="CC17" i="17"/>
  <c r="P357" i="1" s="1"/>
  <c r="CC5" i="17"/>
  <c r="D357" i="1" s="1"/>
  <c r="CB6" i="17"/>
  <c r="E356" i="1" s="1"/>
  <c r="CB7" i="17"/>
  <c r="F356" i="1" s="1"/>
  <c r="CB8" i="17"/>
  <c r="G356" i="1" s="1"/>
  <c r="CB9" i="17"/>
  <c r="H356" i="1" s="1"/>
  <c r="CB10" i="17"/>
  <c r="I356" i="1" s="1"/>
  <c r="CB11" i="17"/>
  <c r="J356" i="1" s="1"/>
  <c r="CB12" i="17"/>
  <c r="K356" i="1" s="1"/>
  <c r="CB13" i="17"/>
  <c r="L356" i="1" s="1"/>
  <c r="CB14" i="17"/>
  <c r="M356" i="1" s="1"/>
  <c r="CB15" i="17"/>
  <c r="N356" i="1" s="1"/>
  <c r="CB16" i="17"/>
  <c r="O356" i="1" s="1"/>
  <c r="CB17" i="17"/>
  <c r="P356" i="1" s="1"/>
  <c r="CB5" i="17"/>
  <c r="D356" i="1" s="1"/>
  <c r="CA6" i="17"/>
  <c r="E354" i="1" s="1"/>
  <c r="CA7" i="17"/>
  <c r="F354" i="1" s="1"/>
  <c r="CA8" i="17"/>
  <c r="G354" i="1" s="1"/>
  <c r="CA9" i="17"/>
  <c r="H354" i="1" s="1"/>
  <c r="CA10" i="17"/>
  <c r="I354" i="1" s="1"/>
  <c r="CA11" i="17"/>
  <c r="J354" i="1" s="1"/>
  <c r="CA12" i="17"/>
  <c r="K354" i="1" s="1"/>
  <c r="CA13" i="17"/>
  <c r="L354" i="1" s="1"/>
  <c r="CA14" i="17"/>
  <c r="M354" i="1" s="1"/>
  <c r="CA15" i="17"/>
  <c r="N354" i="1" s="1"/>
  <c r="CA16" i="17"/>
  <c r="O354" i="1" s="1"/>
  <c r="CA17" i="17"/>
  <c r="P354" i="1" s="1"/>
  <c r="CA5" i="17"/>
  <c r="D354" i="1" s="1"/>
  <c r="BZ17" i="17"/>
  <c r="P353" i="1" s="1"/>
  <c r="BZ6" i="17"/>
  <c r="E353" i="1" s="1"/>
  <c r="BZ7" i="17"/>
  <c r="F353" i="1" s="1"/>
  <c r="BZ8" i="17"/>
  <c r="G353" i="1" s="1"/>
  <c r="BZ9" i="17"/>
  <c r="H353" i="1" s="1"/>
  <c r="BZ10" i="17"/>
  <c r="I353" i="1" s="1"/>
  <c r="BZ11" i="17"/>
  <c r="J353" i="1" s="1"/>
  <c r="BZ12" i="17"/>
  <c r="K353" i="1" s="1"/>
  <c r="BZ13" i="17"/>
  <c r="L353" i="1" s="1"/>
  <c r="BZ14" i="17"/>
  <c r="M353" i="1" s="1"/>
  <c r="BZ15" i="17"/>
  <c r="N353" i="1" s="1"/>
  <c r="BZ16" i="17"/>
  <c r="O353" i="1" s="1"/>
  <c r="BZ5" i="17"/>
  <c r="D353" i="1" s="1"/>
  <c r="BY5" i="17"/>
  <c r="D355" i="1" s="1"/>
  <c r="BY6" i="17"/>
  <c r="E355" i="1" s="1"/>
  <c r="BY7" i="17"/>
  <c r="F355" i="1" s="1"/>
  <c r="BY8" i="17"/>
  <c r="G355" i="1" s="1"/>
  <c r="BY9" i="17"/>
  <c r="H355" i="1" s="1"/>
  <c r="BY10" i="17"/>
  <c r="I355" i="1" s="1"/>
  <c r="BY11" i="17"/>
  <c r="J355" i="1" s="1"/>
  <c r="BY12" i="17"/>
  <c r="K355" i="1" s="1"/>
  <c r="BY13" i="17"/>
  <c r="L355" i="1" s="1"/>
  <c r="BY14" i="17"/>
  <c r="M355" i="1" s="1"/>
  <c r="BY15" i="17"/>
  <c r="N355" i="1" s="1"/>
  <c r="BY16" i="17"/>
  <c r="O355" i="1" s="1"/>
  <c r="BY17" i="17"/>
  <c r="P355" i="1" s="1"/>
  <c r="BX6" i="17"/>
  <c r="E352" i="1" s="1"/>
  <c r="BX7" i="17"/>
  <c r="F352" i="1" s="1"/>
  <c r="BX8" i="17"/>
  <c r="G352" i="1" s="1"/>
  <c r="BX9" i="17"/>
  <c r="H352" i="1" s="1"/>
  <c r="BX10" i="17"/>
  <c r="I352" i="1" s="1"/>
  <c r="BX11" i="17"/>
  <c r="J352" i="1" s="1"/>
  <c r="BX12" i="17"/>
  <c r="K352" i="1" s="1"/>
  <c r="BX13" i="17"/>
  <c r="L352" i="1" s="1"/>
  <c r="BX14" i="17"/>
  <c r="M352" i="1" s="1"/>
  <c r="BX15" i="17"/>
  <c r="N352" i="1" s="1"/>
  <c r="BX16" i="17"/>
  <c r="O352" i="1" s="1"/>
  <c r="BX17" i="17"/>
  <c r="P352" i="1" s="1"/>
  <c r="BX5" i="17"/>
  <c r="D352" i="1" s="1"/>
  <c r="Z6" i="17"/>
  <c r="E346" i="1" s="1"/>
  <c r="Z7" i="17"/>
  <c r="Z8" i="17"/>
  <c r="G346" i="1" s="1"/>
  <c r="Z9" i="17"/>
  <c r="H346" i="1" s="1"/>
  <c r="Z10" i="17"/>
  <c r="I346" i="1" s="1"/>
  <c r="Z11" i="17"/>
  <c r="J346" i="1" s="1"/>
  <c r="Z12" i="17"/>
  <c r="K346" i="1" s="1"/>
  <c r="Z13" i="17"/>
  <c r="L346" i="1" s="1"/>
  <c r="Z14" i="17"/>
  <c r="Z15" i="17"/>
  <c r="N346" i="1" s="1"/>
  <c r="Z16" i="17"/>
  <c r="O346" i="1" s="1"/>
  <c r="Z17" i="17"/>
  <c r="P346" i="1" s="1"/>
  <c r="AB6" i="17"/>
  <c r="E348" i="1" s="1"/>
  <c r="AB7" i="17"/>
  <c r="F348" i="1" s="1"/>
  <c r="AB8" i="17"/>
  <c r="G348" i="1" s="1"/>
  <c r="AB9" i="17"/>
  <c r="H348" i="1" s="1"/>
  <c r="AB10" i="17"/>
  <c r="I348" i="1" s="1"/>
  <c r="AB11" i="17"/>
  <c r="J348" i="1" s="1"/>
  <c r="AB12" i="17"/>
  <c r="K348" i="1" s="1"/>
  <c r="AB13" i="17"/>
  <c r="L348" i="1" s="1"/>
  <c r="AB14" i="17"/>
  <c r="M348" i="1" s="1"/>
  <c r="AB15" i="17"/>
  <c r="N348" i="1" s="1"/>
  <c r="AB16" i="17"/>
  <c r="O348" i="1" s="1"/>
  <c r="AB17" i="17"/>
  <c r="P348" i="1" s="1"/>
  <c r="AB5" i="17"/>
  <c r="D348" i="1" s="1"/>
  <c r="Z5" i="17"/>
  <c r="D346" i="1" s="1"/>
  <c r="AA6" i="17"/>
  <c r="E347" i="1" s="1"/>
  <c r="AA7" i="17"/>
  <c r="F347" i="1" s="1"/>
  <c r="AA8" i="17"/>
  <c r="G347" i="1" s="1"/>
  <c r="AA9" i="17"/>
  <c r="H347" i="1" s="1"/>
  <c r="AA10" i="17"/>
  <c r="I347" i="1" s="1"/>
  <c r="AA11" i="17"/>
  <c r="J347" i="1" s="1"/>
  <c r="AA12" i="17"/>
  <c r="K347" i="1" s="1"/>
  <c r="AA13" i="17"/>
  <c r="L347" i="1" s="1"/>
  <c r="AA14" i="17"/>
  <c r="M347" i="1" s="1"/>
  <c r="AA15" i="17"/>
  <c r="N347" i="1" s="1"/>
  <c r="AA16" i="17"/>
  <c r="O347" i="1" s="1"/>
  <c r="AA17" i="17"/>
  <c r="P347" i="1" s="1"/>
  <c r="AA5" i="17"/>
  <c r="D347" i="1" s="1"/>
  <c r="Y6" i="17"/>
  <c r="E345" i="1" s="1"/>
  <c r="Y7" i="17"/>
  <c r="F345" i="1" s="1"/>
  <c r="Y8" i="17"/>
  <c r="G345" i="1" s="1"/>
  <c r="Y9" i="17"/>
  <c r="H345" i="1" s="1"/>
  <c r="Y10" i="17"/>
  <c r="I345" i="1" s="1"/>
  <c r="Y11" i="17"/>
  <c r="J345" i="1" s="1"/>
  <c r="Y12" i="17"/>
  <c r="K345" i="1" s="1"/>
  <c r="Y13" i="17"/>
  <c r="L345" i="1" s="1"/>
  <c r="Y14" i="17"/>
  <c r="M345" i="1" s="1"/>
  <c r="Y15" i="17"/>
  <c r="N345" i="1" s="1"/>
  <c r="Y16" i="17"/>
  <c r="O345" i="1" s="1"/>
  <c r="Y17" i="17"/>
  <c r="P345" i="1" s="1"/>
  <c r="Y5" i="17"/>
  <c r="D345" i="1" s="1"/>
  <c r="X6" i="17"/>
  <c r="E343" i="1" s="1"/>
  <c r="X7" i="17"/>
  <c r="F343" i="1" s="1"/>
  <c r="X8" i="17"/>
  <c r="G343" i="1" s="1"/>
  <c r="X9" i="17"/>
  <c r="H343" i="1" s="1"/>
  <c r="X10" i="17"/>
  <c r="I343" i="1" s="1"/>
  <c r="X11" i="17"/>
  <c r="J343" i="1" s="1"/>
  <c r="X12" i="17"/>
  <c r="K343" i="1" s="1"/>
  <c r="X13" i="17"/>
  <c r="L343" i="1" s="1"/>
  <c r="X14" i="17"/>
  <c r="M343" i="1" s="1"/>
  <c r="X15" i="17"/>
  <c r="N343" i="1" s="1"/>
  <c r="X16" i="17"/>
  <c r="O343" i="1" s="1"/>
  <c r="X17" i="17"/>
  <c r="P343" i="1" s="1"/>
  <c r="X5" i="17"/>
  <c r="D343" i="1" s="1"/>
  <c r="W6" i="17"/>
  <c r="E342" i="1" s="1"/>
  <c r="W7" i="17"/>
  <c r="F342" i="1" s="1"/>
  <c r="W8" i="17"/>
  <c r="G342" i="1" s="1"/>
  <c r="W9" i="17"/>
  <c r="H342" i="1" s="1"/>
  <c r="W10" i="17"/>
  <c r="I342" i="1" s="1"/>
  <c r="W11" i="17"/>
  <c r="J342" i="1" s="1"/>
  <c r="W12" i="17"/>
  <c r="K342" i="1" s="1"/>
  <c r="W13" i="17"/>
  <c r="L342" i="1" s="1"/>
  <c r="W14" i="17"/>
  <c r="M342" i="1" s="1"/>
  <c r="W15" i="17"/>
  <c r="N342" i="1" s="1"/>
  <c r="W16" i="17"/>
  <c r="O342" i="1" s="1"/>
  <c r="W17" i="17"/>
  <c r="P342" i="1" s="1"/>
  <c r="W5" i="17"/>
  <c r="D342" i="1" s="1"/>
  <c r="V6" i="17"/>
  <c r="E344" i="1" s="1"/>
  <c r="V7" i="17"/>
  <c r="F344" i="1" s="1"/>
  <c r="V8" i="17"/>
  <c r="G344" i="1" s="1"/>
  <c r="V9" i="17"/>
  <c r="H344" i="1" s="1"/>
  <c r="V10" i="17"/>
  <c r="I344" i="1" s="1"/>
  <c r="V11" i="17"/>
  <c r="J344" i="1" s="1"/>
  <c r="V12" i="17"/>
  <c r="K344" i="1" s="1"/>
  <c r="V13" i="17"/>
  <c r="L344" i="1" s="1"/>
  <c r="V14" i="17"/>
  <c r="M344" i="1" s="1"/>
  <c r="V15" i="17"/>
  <c r="N344" i="1" s="1"/>
  <c r="V16" i="17"/>
  <c r="O344" i="1" s="1"/>
  <c r="V17" i="17"/>
  <c r="P344" i="1" s="1"/>
  <c r="V5" i="17"/>
  <c r="D344" i="1" s="1"/>
  <c r="U6" i="17"/>
  <c r="E341" i="1" s="1"/>
  <c r="U7" i="17"/>
  <c r="F341" i="1" s="1"/>
  <c r="U8" i="17"/>
  <c r="G341" i="1" s="1"/>
  <c r="U9" i="17"/>
  <c r="H341" i="1" s="1"/>
  <c r="U10" i="17"/>
  <c r="I341" i="1" s="1"/>
  <c r="U11" i="17"/>
  <c r="J341" i="1" s="1"/>
  <c r="U12" i="17"/>
  <c r="K341" i="1" s="1"/>
  <c r="U13" i="17"/>
  <c r="L341" i="1" s="1"/>
  <c r="U14" i="17"/>
  <c r="M341" i="1" s="1"/>
  <c r="U15" i="17"/>
  <c r="N341" i="1" s="1"/>
  <c r="U16" i="17"/>
  <c r="O341" i="1" s="1"/>
  <c r="U17" i="17"/>
  <c r="P341" i="1" s="1"/>
  <c r="U5" i="17"/>
  <c r="D341" i="1" s="1"/>
  <c r="M346" i="1"/>
  <c r="F346" i="1"/>
  <c r="AZ4" i="17"/>
  <c r="D333" i="1" s="1"/>
  <c r="AZ5" i="17"/>
  <c r="E333" i="1" s="1"/>
  <c r="BA5" i="17"/>
  <c r="E331" i="1" s="1"/>
  <c r="BB5" i="17"/>
  <c r="E332" i="1" s="1"/>
  <c r="BC5" i="17"/>
  <c r="E334" i="1" s="1"/>
  <c r="BD5" i="17"/>
  <c r="E335" i="1" s="1"/>
  <c r="BE5" i="17"/>
  <c r="E336" i="1" s="1"/>
  <c r="BF5" i="17"/>
  <c r="E337" i="1" s="1"/>
  <c r="AZ6" i="17"/>
  <c r="F333" i="1" s="1"/>
  <c r="BA6" i="17"/>
  <c r="F331" i="1" s="1"/>
  <c r="BB6" i="17"/>
  <c r="F332" i="1" s="1"/>
  <c r="BC6" i="17"/>
  <c r="F334" i="1" s="1"/>
  <c r="BD6" i="17"/>
  <c r="F335" i="1" s="1"/>
  <c r="BE6" i="17"/>
  <c r="F336" i="1" s="1"/>
  <c r="BF6" i="17"/>
  <c r="F337" i="1" s="1"/>
  <c r="AZ7" i="17"/>
  <c r="G333" i="1" s="1"/>
  <c r="BA7" i="17"/>
  <c r="G331" i="1" s="1"/>
  <c r="BB7" i="17"/>
  <c r="G332" i="1" s="1"/>
  <c r="BC7" i="17"/>
  <c r="G334" i="1" s="1"/>
  <c r="BD7" i="17"/>
  <c r="G335" i="1" s="1"/>
  <c r="BE7" i="17"/>
  <c r="G336" i="1" s="1"/>
  <c r="BF7" i="17"/>
  <c r="G337" i="1" s="1"/>
  <c r="AZ8" i="17"/>
  <c r="H333" i="1" s="1"/>
  <c r="BA8" i="17"/>
  <c r="H331" i="1" s="1"/>
  <c r="BB8" i="17"/>
  <c r="H332" i="1" s="1"/>
  <c r="BC8" i="17"/>
  <c r="H334" i="1" s="1"/>
  <c r="BD8" i="17"/>
  <c r="H335" i="1" s="1"/>
  <c r="BE8" i="17"/>
  <c r="H336" i="1" s="1"/>
  <c r="BF8" i="17"/>
  <c r="H337" i="1" s="1"/>
  <c r="AZ9" i="17"/>
  <c r="I333" i="1" s="1"/>
  <c r="BA9" i="17"/>
  <c r="I331" i="1" s="1"/>
  <c r="BB9" i="17"/>
  <c r="I332" i="1" s="1"/>
  <c r="BC9" i="17"/>
  <c r="I334" i="1" s="1"/>
  <c r="BD9" i="17"/>
  <c r="I335" i="1" s="1"/>
  <c r="BE9" i="17"/>
  <c r="I336" i="1" s="1"/>
  <c r="BF9" i="17"/>
  <c r="I337" i="1" s="1"/>
  <c r="AZ10" i="17"/>
  <c r="J333" i="1" s="1"/>
  <c r="BA10" i="17"/>
  <c r="J331" i="1" s="1"/>
  <c r="BB10" i="17"/>
  <c r="J332" i="1" s="1"/>
  <c r="BC10" i="17"/>
  <c r="J334" i="1" s="1"/>
  <c r="BD10" i="17"/>
  <c r="J335" i="1" s="1"/>
  <c r="BE10" i="17"/>
  <c r="J336" i="1" s="1"/>
  <c r="BF10" i="17"/>
  <c r="J337" i="1" s="1"/>
  <c r="AZ11" i="17"/>
  <c r="K333" i="1" s="1"/>
  <c r="BA11" i="17"/>
  <c r="K331" i="1" s="1"/>
  <c r="BB11" i="17"/>
  <c r="K332" i="1" s="1"/>
  <c r="BC11" i="17"/>
  <c r="K334" i="1" s="1"/>
  <c r="BD11" i="17"/>
  <c r="K335" i="1" s="1"/>
  <c r="BE11" i="17"/>
  <c r="K336" i="1" s="1"/>
  <c r="BF11" i="17"/>
  <c r="K337" i="1" s="1"/>
  <c r="AZ12" i="17"/>
  <c r="L333" i="1" s="1"/>
  <c r="BA12" i="17"/>
  <c r="L331" i="1" s="1"/>
  <c r="BB12" i="17"/>
  <c r="L332" i="1" s="1"/>
  <c r="BC12" i="17"/>
  <c r="L334" i="1" s="1"/>
  <c r="BD12" i="17"/>
  <c r="L335" i="1" s="1"/>
  <c r="BE12" i="17"/>
  <c r="L336" i="1" s="1"/>
  <c r="BF12" i="17"/>
  <c r="L337" i="1" s="1"/>
  <c r="AZ13" i="17"/>
  <c r="M333" i="1" s="1"/>
  <c r="BA13" i="17"/>
  <c r="M331" i="1" s="1"/>
  <c r="BB13" i="17"/>
  <c r="M332" i="1" s="1"/>
  <c r="BC13" i="17"/>
  <c r="M334" i="1" s="1"/>
  <c r="BD13" i="17"/>
  <c r="M335" i="1" s="1"/>
  <c r="BE13" i="17"/>
  <c r="M336" i="1" s="1"/>
  <c r="BF13" i="17"/>
  <c r="M337" i="1" s="1"/>
  <c r="AZ14" i="17"/>
  <c r="N333" i="1" s="1"/>
  <c r="BA14" i="17"/>
  <c r="N331" i="1" s="1"/>
  <c r="BB14" i="17"/>
  <c r="N332" i="1" s="1"/>
  <c r="BC14" i="17"/>
  <c r="N334" i="1" s="1"/>
  <c r="BD14" i="17"/>
  <c r="N335" i="1" s="1"/>
  <c r="BE14" i="17"/>
  <c r="N336" i="1" s="1"/>
  <c r="BF14" i="17"/>
  <c r="N337" i="1" s="1"/>
  <c r="AZ15" i="17"/>
  <c r="O333" i="1" s="1"/>
  <c r="BA15" i="17"/>
  <c r="O331" i="1" s="1"/>
  <c r="BB15" i="17"/>
  <c r="O332" i="1" s="1"/>
  <c r="BC15" i="17"/>
  <c r="O334" i="1" s="1"/>
  <c r="BD15" i="17"/>
  <c r="O335" i="1" s="1"/>
  <c r="BE15" i="17"/>
  <c r="O336" i="1" s="1"/>
  <c r="BF15" i="17"/>
  <c r="O337" i="1" s="1"/>
  <c r="AZ16" i="17"/>
  <c r="P333" i="1" s="1"/>
  <c r="BA16" i="17"/>
  <c r="P331" i="1" s="1"/>
  <c r="BB16" i="17"/>
  <c r="P332" i="1" s="1"/>
  <c r="BC16" i="17"/>
  <c r="P334" i="1" s="1"/>
  <c r="BD16" i="17"/>
  <c r="P335" i="1" s="1"/>
  <c r="BE16" i="17"/>
  <c r="P336" i="1" s="1"/>
  <c r="BF16" i="17"/>
  <c r="P337" i="1" s="1"/>
  <c r="AY5" i="17"/>
  <c r="E330" i="1" s="1"/>
  <c r="AY6" i="17"/>
  <c r="F330" i="1" s="1"/>
  <c r="AY7" i="17"/>
  <c r="G330" i="1" s="1"/>
  <c r="AY8" i="17"/>
  <c r="H330" i="1" s="1"/>
  <c r="AY9" i="17"/>
  <c r="I330" i="1" s="1"/>
  <c r="AY10" i="17"/>
  <c r="J330" i="1" s="1"/>
  <c r="AY11" i="17"/>
  <c r="K330" i="1" s="1"/>
  <c r="AY12" i="17"/>
  <c r="L330" i="1" s="1"/>
  <c r="AY13" i="17"/>
  <c r="M330" i="1" s="1"/>
  <c r="AY14" i="17"/>
  <c r="N330" i="1" s="1"/>
  <c r="AY15" i="17"/>
  <c r="O330" i="1" s="1"/>
  <c r="AY16" i="17"/>
  <c r="P330" i="1" s="1"/>
  <c r="AY4" i="17"/>
  <c r="D330" i="1" s="1"/>
  <c r="BF4" i="17"/>
  <c r="D337" i="1" s="1"/>
  <c r="BE4" i="17"/>
  <c r="D336" i="1" s="1"/>
  <c r="BD4" i="17"/>
  <c r="D335" i="1" s="1"/>
  <c r="BC4" i="17"/>
  <c r="D334" i="1" s="1"/>
  <c r="BB4" i="17"/>
  <c r="D332" i="1" s="1"/>
  <c r="BA4" i="17"/>
  <c r="D331" i="1" s="1"/>
  <c r="AB4" i="4"/>
  <c r="BL143" i="7"/>
  <c r="AP5" i="15"/>
  <c r="E296" i="1" s="1"/>
  <c r="AQ5" i="15"/>
  <c r="E297" i="1" s="1"/>
  <c r="AR5" i="15"/>
  <c r="E298" i="1" s="1"/>
  <c r="AS5" i="15"/>
  <c r="E300" i="1" s="1"/>
  <c r="AT5" i="15"/>
  <c r="E302" i="1" s="1"/>
  <c r="AP6" i="15"/>
  <c r="F296" i="1" s="1"/>
  <c r="AQ6" i="15"/>
  <c r="F297" i="1" s="1"/>
  <c r="AR6" i="15"/>
  <c r="F298" i="1" s="1"/>
  <c r="AS6" i="15"/>
  <c r="F300" i="1" s="1"/>
  <c r="AT6" i="15"/>
  <c r="F302" i="1" s="1"/>
  <c r="AP7" i="15"/>
  <c r="G296" i="1" s="1"/>
  <c r="AQ7" i="15"/>
  <c r="G297" i="1" s="1"/>
  <c r="AR7" i="15"/>
  <c r="G298" i="1" s="1"/>
  <c r="AS7" i="15"/>
  <c r="G300" i="1" s="1"/>
  <c r="AT7" i="15"/>
  <c r="G302" i="1" s="1"/>
  <c r="AP8" i="15"/>
  <c r="H296" i="1" s="1"/>
  <c r="AQ8" i="15"/>
  <c r="H297" i="1" s="1"/>
  <c r="AR8" i="15"/>
  <c r="H298" i="1" s="1"/>
  <c r="AS8" i="15"/>
  <c r="H300" i="1" s="1"/>
  <c r="AT8" i="15"/>
  <c r="H302" i="1" s="1"/>
  <c r="AP9" i="15"/>
  <c r="I296" i="1" s="1"/>
  <c r="AQ9" i="15"/>
  <c r="I297" i="1" s="1"/>
  <c r="AR9" i="15"/>
  <c r="I298" i="1" s="1"/>
  <c r="AS9" i="15"/>
  <c r="I300" i="1" s="1"/>
  <c r="AT9" i="15"/>
  <c r="I302" i="1" s="1"/>
  <c r="AW16" i="15"/>
  <c r="P301" i="1" s="1"/>
  <c r="AV16" i="15"/>
  <c r="P299" i="1" s="1"/>
  <c r="AU16" i="15"/>
  <c r="P303" i="1" s="1"/>
  <c r="AT16" i="15"/>
  <c r="P302" i="1" s="1"/>
  <c r="AS16" i="15"/>
  <c r="P300" i="1" s="1"/>
  <c r="AR16" i="15"/>
  <c r="P298" i="1" s="1"/>
  <c r="AQ16" i="15"/>
  <c r="P297" i="1" s="1"/>
  <c r="AP16" i="15"/>
  <c r="P296" i="1" s="1"/>
  <c r="Z16" i="15"/>
  <c r="P290" i="1" s="1"/>
  <c r="Y16" i="15"/>
  <c r="P288" i="1" s="1"/>
  <c r="X16" i="15"/>
  <c r="P292" i="1" s="1"/>
  <c r="W16" i="15"/>
  <c r="P291" i="1" s="1"/>
  <c r="V16" i="15"/>
  <c r="P289" i="1" s="1"/>
  <c r="U16" i="15"/>
  <c r="P287" i="1" s="1"/>
  <c r="T16" i="15"/>
  <c r="P286" i="1" s="1"/>
  <c r="S16" i="15"/>
  <c r="P285" i="1" s="1"/>
  <c r="AW15" i="15"/>
  <c r="O301" i="1" s="1"/>
  <c r="AV15" i="15"/>
  <c r="O299" i="1" s="1"/>
  <c r="AU15" i="15"/>
  <c r="O303" i="1" s="1"/>
  <c r="AT15" i="15"/>
  <c r="O302" i="1" s="1"/>
  <c r="AS15" i="15"/>
  <c r="O300" i="1" s="1"/>
  <c r="AR15" i="15"/>
  <c r="O298" i="1" s="1"/>
  <c r="AQ15" i="15"/>
  <c r="O297" i="1" s="1"/>
  <c r="AP15" i="15"/>
  <c r="O296" i="1" s="1"/>
  <c r="Z15" i="15"/>
  <c r="O290" i="1" s="1"/>
  <c r="Y15" i="15"/>
  <c r="O288" i="1" s="1"/>
  <c r="X15" i="15"/>
  <c r="O292" i="1" s="1"/>
  <c r="W15" i="15"/>
  <c r="O291" i="1" s="1"/>
  <c r="V15" i="15"/>
  <c r="O289" i="1" s="1"/>
  <c r="U15" i="15"/>
  <c r="O287" i="1" s="1"/>
  <c r="T15" i="15"/>
  <c r="O286" i="1" s="1"/>
  <c r="S15" i="15"/>
  <c r="O285" i="1" s="1"/>
  <c r="AW14" i="15"/>
  <c r="N301" i="1" s="1"/>
  <c r="AV14" i="15"/>
  <c r="N299" i="1" s="1"/>
  <c r="AU14" i="15"/>
  <c r="N303" i="1" s="1"/>
  <c r="AT14" i="15"/>
  <c r="N302" i="1" s="1"/>
  <c r="AS14" i="15"/>
  <c r="N300" i="1" s="1"/>
  <c r="AR14" i="15"/>
  <c r="N298" i="1" s="1"/>
  <c r="AQ14" i="15"/>
  <c r="N297" i="1" s="1"/>
  <c r="AP14" i="15"/>
  <c r="N296" i="1" s="1"/>
  <c r="Z14" i="15"/>
  <c r="N290" i="1" s="1"/>
  <c r="Y14" i="15"/>
  <c r="N288" i="1" s="1"/>
  <c r="X14" i="15"/>
  <c r="N292" i="1" s="1"/>
  <c r="W14" i="15"/>
  <c r="N291" i="1" s="1"/>
  <c r="V14" i="15"/>
  <c r="N289" i="1" s="1"/>
  <c r="U14" i="15"/>
  <c r="N287" i="1" s="1"/>
  <c r="T14" i="15"/>
  <c r="N286" i="1" s="1"/>
  <c r="S14" i="15"/>
  <c r="N285" i="1" s="1"/>
  <c r="AW13" i="15"/>
  <c r="M301" i="1" s="1"/>
  <c r="AV13" i="15"/>
  <c r="M299" i="1" s="1"/>
  <c r="AU13" i="15"/>
  <c r="M303" i="1" s="1"/>
  <c r="AT13" i="15"/>
  <c r="M302" i="1" s="1"/>
  <c r="AS13" i="15"/>
  <c r="M300" i="1" s="1"/>
  <c r="AR13" i="15"/>
  <c r="M298" i="1" s="1"/>
  <c r="AQ13" i="15"/>
  <c r="M297" i="1" s="1"/>
  <c r="AP13" i="15"/>
  <c r="M296" i="1" s="1"/>
  <c r="Z13" i="15"/>
  <c r="M290" i="1" s="1"/>
  <c r="Y13" i="15"/>
  <c r="M288" i="1" s="1"/>
  <c r="X13" i="15"/>
  <c r="M292" i="1" s="1"/>
  <c r="W13" i="15"/>
  <c r="M291" i="1" s="1"/>
  <c r="V13" i="15"/>
  <c r="M289" i="1" s="1"/>
  <c r="U13" i="15"/>
  <c r="M287" i="1" s="1"/>
  <c r="T13" i="15"/>
  <c r="M286" i="1" s="1"/>
  <c r="S13" i="15"/>
  <c r="M285" i="1" s="1"/>
  <c r="AW12" i="15"/>
  <c r="L301" i="1" s="1"/>
  <c r="AV12" i="15"/>
  <c r="L299" i="1" s="1"/>
  <c r="AU12" i="15"/>
  <c r="L303" i="1" s="1"/>
  <c r="AT12" i="15"/>
  <c r="L302" i="1" s="1"/>
  <c r="AS12" i="15"/>
  <c r="L300" i="1" s="1"/>
  <c r="AR12" i="15"/>
  <c r="L298" i="1" s="1"/>
  <c r="AQ12" i="15"/>
  <c r="L297" i="1" s="1"/>
  <c r="AP12" i="15"/>
  <c r="L296" i="1" s="1"/>
  <c r="Z12" i="15"/>
  <c r="L290" i="1" s="1"/>
  <c r="Y12" i="15"/>
  <c r="L288" i="1" s="1"/>
  <c r="X12" i="15"/>
  <c r="L292" i="1" s="1"/>
  <c r="W12" i="15"/>
  <c r="L291" i="1" s="1"/>
  <c r="V12" i="15"/>
  <c r="L289" i="1" s="1"/>
  <c r="U12" i="15"/>
  <c r="L287" i="1" s="1"/>
  <c r="T12" i="15"/>
  <c r="L286" i="1" s="1"/>
  <c r="S12" i="15"/>
  <c r="L285" i="1" s="1"/>
  <c r="AW11" i="15"/>
  <c r="K301" i="1" s="1"/>
  <c r="AV11" i="15"/>
  <c r="K299" i="1" s="1"/>
  <c r="AU11" i="15"/>
  <c r="K303" i="1" s="1"/>
  <c r="AT11" i="15"/>
  <c r="K302" i="1" s="1"/>
  <c r="AS11" i="15"/>
  <c r="K300" i="1" s="1"/>
  <c r="AR11" i="15"/>
  <c r="K298" i="1" s="1"/>
  <c r="AQ11" i="15"/>
  <c r="K297" i="1" s="1"/>
  <c r="AP11" i="15"/>
  <c r="K296" i="1" s="1"/>
  <c r="Z11" i="15"/>
  <c r="K290" i="1" s="1"/>
  <c r="Y11" i="15"/>
  <c r="K288" i="1" s="1"/>
  <c r="X11" i="15"/>
  <c r="K292" i="1" s="1"/>
  <c r="W11" i="15"/>
  <c r="K291" i="1" s="1"/>
  <c r="V11" i="15"/>
  <c r="K289" i="1" s="1"/>
  <c r="U11" i="15"/>
  <c r="K287" i="1" s="1"/>
  <c r="T11" i="15"/>
  <c r="K286" i="1" s="1"/>
  <c r="S11" i="15"/>
  <c r="K285" i="1" s="1"/>
  <c r="AW10" i="15"/>
  <c r="J301" i="1" s="1"/>
  <c r="AV10" i="15"/>
  <c r="J299" i="1" s="1"/>
  <c r="AU10" i="15"/>
  <c r="J303" i="1" s="1"/>
  <c r="AT10" i="15"/>
  <c r="J302" i="1" s="1"/>
  <c r="AS10" i="15"/>
  <c r="J300" i="1" s="1"/>
  <c r="AR10" i="15"/>
  <c r="J298" i="1" s="1"/>
  <c r="AQ10" i="15"/>
  <c r="J297" i="1" s="1"/>
  <c r="AP10" i="15"/>
  <c r="J296" i="1" s="1"/>
  <c r="Z10" i="15"/>
  <c r="J290" i="1" s="1"/>
  <c r="Y10" i="15"/>
  <c r="J288" i="1" s="1"/>
  <c r="X10" i="15"/>
  <c r="J292" i="1" s="1"/>
  <c r="W10" i="15"/>
  <c r="J291" i="1" s="1"/>
  <c r="V10" i="15"/>
  <c r="J289" i="1" s="1"/>
  <c r="U10" i="15"/>
  <c r="J287" i="1" s="1"/>
  <c r="T10" i="15"/>
  <c r="J286" i="1" s="1"/>
  <c r="S10" i="15"/>
  <c r="J285" i="1" s="1"/>
  <c r="AW9" i="15"/>
  <c r="I301" i="1" s="1"/>
  <c r="AV9" i="15"/>
  <c r="I299" i="1" s="1"/>
  <c r="AU9" i="15"/>
  <c r="I303" i="1" s="1"/>
  <c r="Z9" i="15"/>
  <c r="I290" i="1" s="1"/>
  <c r="Y9" i="15"/>
  <c r="I288" i="1" s="1"/>
  <c r="X9" i="15"/>
  <c r="I292" i="1" s="1"/>
  <c r="W9" i="15"/>
  <c r="I291" i="1" s="1"/>
  <c r="V9" i="15"/>
  <c r="I289" i="1" s="1"/>
  <c r="U9" i="15"/>
  <c r="I287" i="1" s="1"/>
  <c r="T9" i="15"/>
  <c r="I286" i="1" s="1"/>
  <c r="S9" i="15"/>
  <c r="I285" i="1" s="1"/>
  <c r="AW8" i="15"/>
  <c r="H301" i="1" s="1"/>
  <c r="AV8" i="15"/>
  <c r="H299" i="1" s="1"/>
  <c r="AU8" i="15"/>
  <c r="H303" i="1" s="1"/>
  <c r="Z8" i="15"/>
  <c r="H290" i="1" s="1"/>
  <c r="Y8" i="15"/>
  <c r="H288" i="1" s="1"/>
  <c r="X8" i="15"/>
  <c r="H292" i="1" s="1"/>
  <c r="W8" i="15"/>
  <c r="H291" i="1" s="1"/>
  <c r="V8" i="15"/>
  <c r="H289" i="1" s="1"/>
  <c r="U8" i="15"/>
  <c r="H287" i="1" s="1"/>
  <c r="T8" i="15"/>
  <c r="H286" i="1" s="1"/>
  <c r="S8" i="15"/>
  <c r="H285" i="1" s="1"/>
  <c r="AW7" i="15"/>
  <c r="G301" i="1" s="1"/>
  <c r="AV7" i="15"/>
  <c r="G299" i="1" s="1"/>
  <c r="AU7" i="15"/>
  <c r="G303" i="1" s="1"/>
  <c r="Z7" i="15"/>
  <c r="G290" i="1" s="1"/>
  <c r="Y7" i="15"/>
  <c r="G288" i="1" s="1"/>
  <c r="X7" i="15"/>
  <c r="G292" i="1" s="1"/>
  <c r="W7" i="15"/>
  <c r="G291" i="1" s="1"/>
  <c r="V7" i="15"/>
  <c r="G289" i="1" s="1"/>
  <c r="U7" i="15"/>
  <c r="G287" i="1" s="1"/>
  <c r="T7" i="15"/>
  <c r="G286" i="1" s="1"/>
  <c r="S7" i="15"/>
  <c r="G285" i="1" s="1"/>
  <c r="AW6" i="15"/>
  <c r="F301" i="1" s="1"/>
  <c r="AV6" i="15"/>
  <c r="F299" i="1" s="1"/>
  <c r="AU6" i="15"/>
  <c r="F303" i="1" s="1"/>
  <c r="Z6" i="15"/>
  <c r="F290" i="1" s="1"/>
  <c r="Y6" i="15"/>
  <c r="F288" i="1" s="1"/>
  <c r="X6" i="15"/>
  <c r="F292" i="1" s="1"/>
  <c r="W6" i="15"/>
  <c r="F291" i="1" s="1"/>
  <c r="V6" i="15"/>
  <c r="F289" i="1" s="1"/>
  <c r="U6" i="15"/>
  <c r="F287" i="1" s="1"/>
  <c r="T6" i="15"/>
  <c r="F286" i="1" s="1"/>
  <c r="S6" i="15"/>
  <c r="F285" i="1" s="1"/>
  <c r="AW5" i="15"/>
  <c r="E301" i="1" s="1"/>
  <c r="AV5" i="15"/>
  <c r="E299" i="1" s="1"/>
  <c r="AU5" i="15"/>
  <c r="E303" i="1" s="1"/>
  <c r="Z5" i="15"/>
  <c r="E290" i="1" s="1"/>
  <c r="Y5" i="15"/>
  <c r="E288" i="1" s="1"/>
  <c r="X5" i="15"/>
  <c r="E292" i="1" s="1"/>
  <c r="W5" i="15"/>
  <c r="E291" i="1" s="1"/>
  <c r="V5" i="15"/>
  <c r="E289" i="1" s="1"/>
  <c r="U5" i="15"/>
  <c r="E287" i="1" s="1"/>
  <c r="T5" i="15"/>
  <c r="E286" i="1" s="1"/>
  <c r="S5" i="15"/>
  <c r="E285" i="1" s="1"/>
  <c r="AW4" i="15"/>
  <c r="D301" i="1" s="1"/>
  <c r="AV4" i="15"/>
  <c r="D299" i="1" s="1"/>
  <c r="AU4" i="15"/>
  <c r="D303" i="1" s="1"/>
  <c r="AT4" i="15"/>
  <c r="D302" i="1" s="1"/>
  <c r="AS4" i="15"/>
  <c r="D300" i="1" s="1"/>
  <c r="AR4" i="15"/>
  <c r="D298" i="1" s="1"/>
  <c r="AQ4" i="15"/>
  <c r="D297" i="1" s="1"/>
  <c r="AP4" i="15"/>
  <c r="D296" i="1" s="1"/>
  <c r="Z4" i="15"/>
  <c r="D290" i="1" s="1"/>
  <c r="Y4" i="15"/>
  <c r="D288" i="1" s="1"/>
  <c r="X4" i="15"/>
  <c r="D292" i="1" s="1"/>
  <c r="W4" i="15"/>
  <c r="D291" i="1" s="1"/>
  <c r="V4" i="15"/>
  <c r="D289" i="1" s="1"/>
  <c r="U4" i="15"/>
  <c r="D287" i="1" s="1"/>
  <c r="T4" i="15"/>
  <c r="D286" i="1" s="1"/>
  <c r="S4" i="15"/>
  <c r="D285" i="1" s="1"/>
  <c r="T4" i="13"/>
  <c r="D262" i="1" s="1"/>
  <c r="AW5" i="13"/>
  <c r="E277" i="1" s="1"/>
  <c r="AW6" i="13"/>
  <c r="F277" i="1" s="1"/>
  <c r="AW7" i="13"/>
  <c r="G277" i="1" s="1"/>
  <c r="AW8" i="13"/>
  <c r="H277" i="1" s="1"/>
  <c r="AW9" i="13"/>
  <c r="I277" i="1" s="1"/>
  <c r="AW10" i="13"/>
  <c r="J277" i="1" s="1"/>
  <c r="AW11" i="13"/>
  <c r="K277" i="1" s="1"/>
  <c r="AW12" i="13"/>
  <c r="L277" i="1" s="1"/>
  <c r="AW13" i="13"/>
  <c r="M277" i="1" s="1"/>
  <c r="AW14" i="13"/>
  <c r="N277" i="1" s="1"/>
  <c r="AW15" i="13"/>
  <c r="O277" i="1" s="1"/>
  <c r="AW16" i="13"/>
  <c r="P277" i="1" s="1"/>
  <c r="AW4" i="13"/>
  <c r="D277" i="1" s="1"/>
  <c r="AV5" i="13"/>
  <c r="E275" i="1" s="1"/>
  <c r="AV6" i="13"/>
  <c r="F275" i="1" s="1"/>
  <c r="AV7" i="13"/>
  <c r="G275" i="1" s="1"/>
  <c r="AV8" i="13"/>
  <c r="H275" i="1" s="1"/>
  <c r="AV9" i="13"/>
  <c r="I275" i="1" s="1"/>
  <c r="AV10" i="13"/>
  <c r="J275" i="1" s="1"/>
  <c r="AV11" i="13"/>
  <c r="K275" i="1" s="1"/>
  <c r="AV12" i="13"/>
  <c r="L275" i="1" s="1"/>
  <c r="AV13" i="13"/>
  <c r="M275" i="1" s="1"/>
  <c r="AV14" i="13"/>
  <c r="N275" i="1" s="1"/>
  <c r="AV15" i="13"/>
  <c r="O275" i="1" s="1"/>
  <c r="AV16" i="13"/>
  <c r="P275" i="1" s="1"/>
  <c r="AV4" i="13"/>
  <c r="D275" i="1" s="1"/>
  <c r="AU5" i="13"/>
  <c r="E279" i="1" s="1"/>
  <c r="AU6" i="13"/>
  <c r="F279" i="1" s="1"/>
  <c r="AU7" i="13"/>
  <c r="G279" i="1" s="1"/>
  <c r="AU8" i="13"/>
  <c r="H279" i="1" s="1"/>
  <c r="AU9" i="13"/>
  <c r="I279" i="1" s="1"/>
  <c r="AU10" i="13"/>
  <c r="J279" i="1" s="1"/>
  <c r="AU11" i="13"/>
  <c r="K279" i="1" s="1"/>
  <c r="AU12" i="13"/>
  <c r="L279" i="1" s="1"/>
  <c r="AU13" i="13"/>
  <c r="M279" i="1" s="1"/>
  <c r="AU14" i="13"/>
  <c r="N279" i="1" s="1"/>
  <c r="AU15" i="13"/>
  <c r="O279" i="1" s="1"/>
  <c r="AU4" i="13"/>
  <c r="D279" i="1" s="1"/>
  <c r="AT5" i="13"/>
  <c r="E278" i="1" s="1"/>
  <c r="AT6" i="13"/>
  <c r="F278" i="1" s="1"/>
  <c r="AT7" i="13"/>
  <c r="G278" i="1" s="1"/>
  <c r="AT8" i="13"/>
  <c r="H278" i="1" s="1"/>
  <c r="AT9" i="13"/>
  <c r="I278" i="1" s="1"/>
  <c r="AT10" i="13"/>
  <c r="J278" i="1" s="1"/>
  <c r="AT11" i="13"/>
  <c r="K278" i="1" s="1"/>
  <c r="AT12" i="13"/>
  <c r="L278" i="1" s="1"/>
  <c r="AT13" i="13"/>
  <c r="M278" i="1" s="1"/>
  <c r="AT14" i="13"/>
  <c r="N278" i="1" s="1"/>
  <c r="AT15" i="13"/>
  <c r="O278" i="1" s="1"/>
  <c r="AT16" i="13"/>
  <c r="P278" i="1" s="1"/>
  <c r="AT4" i="13"/>
  <c r="D278" i="1" s="1"/>
  <c r="AS5" i="13"/>
  <c r="E276" i="1" s="1"/>
  <c r="AS6" i="13"/>
  <c r="F276" i="1" s="1"/>
  <c r="AS7" i="13"/>
  <c r="G276" i="1" s="1"/>
  <c r="AS8" i="13"/>
  <c r="H276" i="1" s="1"/>
  <c r="AS9" i="13"/>
  <c r="I276" i="1" s="1"/>
  <c r="AS10" i="13"/>
  <c r="J276" i="1" s="1"/>
  <c r="AS11" i="13"/>
  <c r="K276" i="1" s="1"/>
  <c r="AS12" i="13"/>
  <c r="L276" i="1" s="1"/>
  <c r="AS13" i="13"/>
  <c r="M276" i="1" s="1"/>
  <c r="AS14" i="13"/>
  <c r="N276" i="1" s="1"/>
  <c r="AS15" i="13"/>
  <c r="O276" i="1" s="1"/>
  <c r="AS16" i="13"/>
  <c r="P276" i="1" s="1"/>
  <c r="AS4" i="13"/>
  <c r="D276" i="1" s="1"/>
  <c r="AR5" i="13"/>
  <c r="E274" i="1" s="1"/>
  <c r="AR6" i="13"/>
  <c r="F274" i="1" s="1"/>
  <c r="AR7" i="13"/>
  <c r="G274" i="1" s="1"/>
  <c r="AR8" i="13"/>
  <c r="H274" i="1" s="1"/>
  <c r="AR9" i="13"/>
  <c r="I274" i="1" s="1"/>
  <c r="AR10" i="13"/>
  <c r="J274" i="1" s="1"/>
  <c r="AR11" i="13"/>
  <c r="K274" i="1" s="1"/>
  <c r="AR12" i="13"/>
  <c r="L274" i="1" s="1"/>
  <c r="AR13" i="13"/>
  <c r="M274" i="1" s="1"/>
  <c r="AR14" i="13"/>
  <c r="N274" i="1" s="1"/>
  <c r="AR15" i="13"/>
  <c r="O274" i="1" s="1"/>
  <c r="AR16" i="13"/>
  <c r="P274" i="1" s="1"/>
  <c r="AQ5" i="13"/>
  <c r="E273" i="1" s="1"/>
  <c r="AQ6" i="13"/>
  <c r="F273" i="1" s="1"/>
  <c r="AQ7" i="13"/>
  <c r="G273" i="1" s="1"/>
  <c r="AQ8" i="13"/>
  <c r="H273" i="1" s="1"/>
  <c r="AQ9" i="13"/>
  <c r="I273" i="1" s="1"/>
  <c r="AQ10" i="13"/>
  <c r="J273" i="1" s="1"/>
  <c r="AQ11" i="13"/>
  <c r="K273" i="1" s="1"/>
  <c r="AQ12" i="13"/>
  <c r="L273" i="1" s="1"/>
  <c r="AQ13" i="13"/>
  <c r="M273" i="1" s="1"/>
  <c r="AQ14" i="13"/>
  <c r="N273" i="1" s="1"/>
  <c r="AQ15" i="13"/>
  <c r="O273" i="1" s="1"/>
  <c r="AQ16" i="13"/>
  <c r="P273" i="1" s="1"/>
  <c r="AR4" i="13"/>
  <c r="D274" i="1" s="1"/>
  <c r="AQ4" i="13"/>
  <c r="D273" i="1" s="1"/>
  <c r="AP4" i="13"/>
  <c r="D272" i="1" s="1"/>
  <c r="AU16" i="13"/>
  <c r="P279" i="1" s="1"/>
  <c r="AP5" i="13"/>
  <c r="E272" i="1" s="1"/>
  <c r="AP6" i="13"/>
  <c r="F272" i="1" s="1"/>
  <c r="AP7" i="13"/>
  <c r="G272" i="1" s="1"/>
  <c r="AP8" i="13"/>
  <c r="H272" i="1" s="1"/>
  <c r="AP9" i="13"/>
  <c r="I272" i="1" s="1"/>
  <c r="AP10" i="13"/>
  <c r="J272" i="1" s="1"/>
  <c r="AP11" i="13"/>
  <c r="K272" i="1" s="1"/>
  <c r="AP12" i="13"/>
  <c r="L272" i="1" s="1"/>
  <c r="AP13" i="13"/>
  <c r="M272" i="1" s="1"/>
  <c r="AP14" i="13"/>
  <c r="N272" i="1" s="1"/>
  <c r="AP15" i="13"/>
  <c r="O272" i="1" s="1"/>
  <c r="AP16" i="13"/>
  <c r="P272" i="1" s="1"/>
  <c r="V5" i="13"/>
  <c r="E265" i="1" s="1"/>
  <c r="W5" i="13"/>
  <c r="E267" i="1" s="1"/>
  <c r="X5" i="13"/>
  <c r="E268" i="1" s="1"/>
  <c r="Y5" i="13"/>
  <c r="E264" i="1" s="1"/>
  <c r="Z5" i="13"/>
  <c r="E266" i="1" s="1"/>
  <c r="V6" i="13"/>
  <c r="F265" i="1" s="1"/>
  <c r="W6" i="13"/>
  <c r="F267" i="1" s="1"/>
  <c r="X6" i="13"/>
  <c r="F268" i="1" s="1"/>
  <c r="Y6" i="13"/>
  <c r="F264" i="1" s="1"/>
  <c r="Z6" i="13"/>
  <c r="F266" i="1" s="1"/>
  <c r="V7" i="13"/>
  <c r="G265" i="1" s="1"/>
  <c r="W7" i="13"/>
  <c r="G267" i="1" s="1"/>
  <c r="X7" i="13"/>
  <c r="G268" i="1" s="1"/>
  <c r="Y7" i="13"/>
  <c r="G264" i="1" s="1"/>
  <c r="Z7" i="13"/>
  <c r="G266" i="1" s="1"/>
  <c r="V8" i="13"/>
  <c r="H265" i="1" s="1"/>
  <c r="W8" i="13"/>
  <c r="H267" i="1" s="1"/>
  <c r="X8" i="13"/>
  <c r="H268" i="1" s="1"/>
  <c r="Y8" i="13"/>
  <c r="H264" i="1" s="1"/>
  <c r="Z8" i="13"/>
  <c r="H266" i="1" s="1"/>
  <c r="V9" i="13"/>
  <c r="I265" i="1" s="1"/>
  <c r="W9" i="13"/>
  <c r="I267" i="1" s="1"/>
  <c r="X9" i="13"/>
  <c r="I268" i="1" s="1"/>
  <c r="Y9" i="13"/>
  <c r="I264" i="1" s="1"/>
  <c r="Z9" i="13"/>
  <c r="I266" i="1" s="1"/>
  <c r="V10" i="13"/>
  <c r="J265" i="1" s="1"/>
  <c r="W10" i="13"/>
  <c r="J267" i="1" s="1"/>
  <c r="X10" i="13"/>
  <c r="J268" i="1" s="1"/>
  <c r="Y10" i="13"/>
  <c r="J264" i="1" s="1"/>
  <c r="Z10" i="13"/>
  <c r="J266" i="1" s="1"/>
  <c r="V11" i="13"/>
  <c r="K265" i="1" s="1"/>
  <c r="W11" i="13"/>
  <c r="K267" i="1" s="1"/>
  <c r="X11" i="13"/>
  <c r="K268" i="1" s="1"/>
  <c r="Y11" i="13"/>
  <c r="K264" i="1" s="1"/>
  <c r="Z11" i="13"/>
  <c r="K266" i="1" s="1"/>
  <c r="V12" i="13"/>
  <c r="L265" i="1" s="1"/>
  <c r="W12" i="13"/>
  <c r="L267" i="1" s="1"/>
  <c r="X12" i="13"/>
  <c r="L268" i="1" s="1"/>
  <c r="Y12" i="13"/>
  <c r="L264" i="1" s="1"/>
  <c r="Z12" i="13"/>
  <c r="L266" i="1" s="1"/>
  <c r="V13" i="13"/>
  <c r="M265" i="1" s="1"/>
  <c r="W13" i="13"/>
  <c r="M267" i="1" s="1"/>
  <c r="X13" i="13"/>
  <c r="M268" i="1" s="1"/>
  <c r="Y13" i="13"/>
  <c r="M264" i="1" s="1"/>
  <c r="Z13" i="13"/>
  <c r="M266" i="1" s="1"/>
  <c r="V14" i="13"/>
  <c r="N265" i="1" s="1"/>
  <c r="W14" i="13"/>
  <c r="N267" i="1" s="1"/>
  <c r="X14" i="13"/>
  <c r="N268" i="1" s="1"/>
  <c r="Y14" i="13"/>
  <c r="N264" i="1" s="1"/>
  <c r="Z14" i="13"/>
  <c r="N266" i="1" s="1"/>
  <c r="V15" i="13"/>
  <c r="O265" i="1" s="1"/>
  <c r="W15" i="13"/>
  <c r="O267" i="1" s="1"/>
  <c r="X15" i="13"/>
  <c r="O268" i="1" s="1"/>
  <c r="Y15" i="13"/>
  <c r="O264" i="1" s="1"/>
  <c r="Z15" i="13"/>
  <c r="O266" i="1" s="1"/>
  <c r="V16" i="13"/>
  <c r="P265" i="1" s="1"/>
  <c r="W16" i="13"/>
  <c r="P267" i="1" s="1"/>
  <c r="X16" i="13"/>
  <c r="P268" i="1" s="1"/>
  <c r="Y16" i="13"/>
  <c r="P264" i="1" s="1"/>
  <c r="Z16" i="13"/>
  <c r="P266" i="1" s="1"/>
  <c r="Y4" i="13"/>
  <c r="D264" i="1" s="1"/>
  <c r="X4" i="13"/>
  <c r="D268" i="1" s="1"/>
  <c r="W4" i="13"/>
  <c r="D267" i="1" s="1"/>
  <c r="Z4" i="13"/>
  <c r="D266" i="1" s="1"/>
  <c r="V4" i="13"/>
  <c r="D265" i="1" s="1"/>
  <c r="U5" i="13"/>
  <c r="E263" i="1" s="1"/>
  <c r="U6" i="13"/>
  <c r="F263" i="1" s="1"/>
  <c r="U7" i="13"/>
  <c r="G263" i="1" s="1"/>
  <c r="U8" i="13"/>
  <c r="H263" i="1" s="1"/>
  <c r="U9" i="13"/>
  <c r="I263" i="1" s="1"/>
  <c r="U10" i="13"/>
  <c r="J263" i="1" s="1"/>
  <c r="U11" i="13"/>
  <c r="K263" i="1" s="1"/>
  <c r="U12" i="13"/>
  <c r="L263" i="1" s="1"/>
  <c r="U13" i="13"/>
  <c r="M263" i="1" s="1"/>
  <c r="U14" i="13"/>
  <c r="N263" i="1" s="1"/>
  <c r="U15" i="13"/>
  <c r="O263" i="1" s="1"/>
  <c r="U16" i="13"/>
  <c r="P263" i="1" s="1"/>
  <c r="U4" i="13"/>
  <c r="D263" i="1" s="1"/>
  <c r="T5" i="13"/>
  <c r="E262" i="1" s="1"/>
  <c r="T6" i="13"/>
  <c r="F262" i="1" s="1"/>
  <c r="T7" i="13"/>
  <c r="G262" i="1" s="1"/>
  <c r="T8" i="13"/>
  <c r="H262" i="1" s="1"/>
  <c r="T9" i="13"/>
  <c r="I262" i="1" s="1"/>
  <c r="T10" i="13"/>
  <c r="J262" i="1" s="1"/>
  <c r="T11" i="13"/>
  <c r="K262" i="1" s="1"/>
  <c r="T12" i="13"/>
  <c r="L262" i="1" s="1"/>
  <c r="T13" i="13"/>
  <c r="M262" i="1" s="1"/>
  <c r="T14" i="13"/>
  <c r="N262" i="1" s="1"/>
  <c r="T15" i="13"/>
  <c r="O262" i="1" s="1"/>
  <c r="T16" i="13"/>
  <c r="P262" i="1" s="1"/>
  <c r="S5" i="13"/>
  <c r="E261" i="1" s="1"/>
  <c r="S6" i="13"/>
  <c r="F261" i="1" s="1"/>
  <c r="S7" i="13"/>
  <c r="G261" i="1" s="1"/>
  <c r="S8" i="13"/>
  <c r="H261" i="1" s="1"/>
  <c r="S9" i="13"/>
  <c r="I261" i="1" s="1"/>
  <c r="S10" i="13"/>
  <c r="J261" i="1" s="1"/>
  <c r="S11" i="13"/>
  <c r="K261" i="1" s="1"/>
  <c r="S12" i="13"/>
  <c r="L261" i="1" s="1"/>
  <c r="S13" i="13"/>
  <c r="M261" i="1" s="1"/>
  <c r="S14" i="13"/>
  <c r="N261" i="1" s="1"/>
  <c r="S15" i="13"/>
  <c r="O261" i="1" s="1"/>
  <c r="S16" i="13"/>
  <c r="P261" i="1" s="1"/>
  <c r="S4" i="13"/>
  <c r="D261" i="1" s="1"/>
  <c r="N4" i="7"/>
  <c r="N16" i="7"/>
  <c r="AM275" i="4"/>
  <c r="AM151" i="4"/>
  <c r="CB144" i="6" l="1"/>
  <c r="E319" i="1" l="1"/>
  <c r="F319" i="1"/>
  <c r="G319" i="1"/>
  <c r="H319" i="1"/>
  <c r="I319" i="1"/>
  <c r="J319" i="1"/>
  <c r="K319" i="1"/>
  <c r="L319" i="1"/>
  <c r="M319" i="1"/>
  <c r="N319" i="1"/>
  <c r="O319" i="1"/>
  <c r="P319" i="1"/>
  <c r="E318" i="1"/>
  <c r="F318" i="1"/>
  <c r="G318" i="1"/>
  <c r="H318" i="1"/>
  <c r="I318" i="1"/>
  <c r="J318" i="1"/>
  <c r="K318" i="1"/>
  <c r="L318" i="1"/>
  <c r="M318" i="1"/>
  <c r="N318" i="1"/>
  <c r="O318" i="1"/>
  <c r="P318" i="1"/>
  <c r="E317" i="1"/>
  <c r="F317" i="1"/>
  <c r="G317" i="1"/>
  <c r="H317" i="1"/>
  <c r="I317" i="1"/>
  <c r="J317" i="1"/>
  <c r="K317" i="1"/>
  <c r="L317" i="1"/>
  <c r="M317" i="1"/>
  <c r="N317" i="1"/>
  <c r="O317" i="1"/>
  <c r="P317" i="1"/>
  <c r="D319" i="1"/>
  <c r="D318" i="1"/>
  <c r="D317" i="1"/>
  <c r="E316" i="1"/>
  <c r="F316" i="1"/>
  <c r="G316" i="1"/>
  <c r="H316" i="1"/>
  <c r="I316" i="1"/>
  <c r="J316" i="1"/>
  <c r="K316" i="1"/>
  <c r="L316" i="1"/>
  <c r="M316" i="1"/>
  <c r="N316" i="1"/>
  <c r="O316" i="1"/>
  <c r="P316" i="1"/>
  <c r="D316" i="1"/>
  <c r="E315" i="1"/>
  <c r="F315" i="1"/>
  <c r="G315" i="1"/>
  <c r="H315" i="1"/>
  <c r="I315" i="1"/>
  <c r="J315" i="1"/>
  <c r="K315" i="1"/>
  <c r="L315" i="1"/>
  <c r="M315" i="1"/>
  <c r="N315" i="1"/>
  <c r="O315" i="1"/>
  <c r="P315" i="1"/>
  <c r="D315" i="1"/>
  <c r="E314" i="1"/>
  <c r="F314" i="1"/>
  <c r="G314" i="1"/>
  <c r="H314" i="1"/>
  <c r="I314" i="1"/>
  <c r="J314" i="1"/>
  <c r="K314" i="1"/>
  <c r="L314" i="1"/>
  <c r="M314" i="1"/>
  <c r="N314" i="1"/>
  <c r="O314" i="1"/>
  <c r="P314" i="1"/>
  <c r="D314" i="1"/>
  <c r="E313" i="1"/>
  <c r="F313" i="1"/>
  <c r="G313" i="1"/>
  <c r="H313" i="1"/>
  <c r="I313" i="1"/>
  <c r="J313" i="1"/>
  <c r="K313" i="1"/>
  <c r="L313" i="1"/>
  <c r="M313" i="1"/>
  <c r="N313" i="1"/>
  <c r="O313" i="1"/>
  <c r="P313" i="1"/>
  <c r="D313" i="1"/>
  <c r="E312" i="1"/>
  <c r="F312" i="1"/>
  <c r="G312" i="1"/>
  <c r="H312" i="1"/>
  <c r="I312" i="1"/>
  <c r="J312" i="1"/>
  <c r="K312" i="1"/>
  <c r="L312" i="1"/>
  <c r="M312" i="1"/>
  <c r="N312" i="1"/>
  <c r="O312" i="1"/>
  <c r="P312" i="1"/>
  <c r="D312" i="1"/>
  <c r="BC5" i="5" l="1"/>
  <c r="BR6" i="10"/>
  <c r="CA144" i="6" l="1"/>
  <c r="AD143" i="6"/>
  <c r="AC143" i="6"/>
  <c r="M5" i="5"/>
  <c r="AN292" i="4"/>
  <c r="BD154" i="4"/>
  <c r="AM292" i="4" l="1"/>
  <c r="AD5" i="3"/>
  <c r="Q4" i="3" l="1"/>
  <c r="BT143" i="7" l="1"/>
  <c r="AU152" i="4"/>
  <c r="AU153" i="4"/>
  <c r="AU154" i="4"/>
  <c r="AU155" i="4"/>
  <c r="AU156" i="4"/>
  <c r="AU157" i="4"/>
  <c r="AU158" i="4"/>
  <c r="AU159" i="4"/>
  <c r="AU160" i="4"/>
  <c r="AU161" i="4"/>
  <c r="AU162" i="4"/>
  <c r="AU163" i="4"/>
  <c r="AU164" i="4"/>
  <c r="AU165" i="4"/>
  <c r="AU166" i="4"/>
  <c r="AU167" i="4"/>
  <c r="AU168" i="4"/>
  <c r="AU169" i="4"/>
  <c r="AU170" i="4"/>
  <c r="AU171" i="4"/>
  <c r="AU172" i="4"/>
  <c r="AU173" i="4"/>
  <c r="AU174" i="4"/>
  <c r="AU175" i="4"/>
  <c r="AU176" i="4"/>
  <c r="AU177" i="4"/>
  <c r="AU178" i="4"/>
  <c r="AU179" i="4"/>
  <c r="AU180" i="4"/>
  <c r="AU181" i="4"/>
  <c r="AU182" i="4"/>
  <c r="AU183" i="4"/>
  <c r="AU184" i="4"/>
  <c r="AU185" i="4"/>
  <c r="AU186" i="4"/>
  <c r="AU187" i="4"/>
  <c r="AU188" i="4"/>
  <c r="AU189" i="4"/>
  <c r="AU190" i="4"/>
  <c r="AU191" i="4"/>
  <c r="AU192" i="4"/>
  <c r="AU193" i="4"/>
  <c r="AU194" i="4"/>
  <c r="AU195" i="4"/>
  <c r="AU196" i="4"/>
  <c r="AU197" i="4"/>
  <c r="AU198" i="4"/>
  <c r="AU199" i="4"/>
  <c r="AU200" i="4"/>
  <c r="AU201" i="4"/>
  <c r="AU202" i="4"/>
  <c r="AU203" i="4"/>
  <c r="AU204" i="4"/>
  <c r="AU205" i="4"/>
  <c r="AU206" i="4"/>
  <c r="AU207" i="4"/>
  <c r="AU208" i="4"/>
  <c r="AU209" i="4"/>
  <c r="AU210" i="4"/>
  <c r="AU211" i="4"/>
  <c r="AU212" i="4"/>
  <c r="AU213" i="4"/>
  <c r="AU214" i="4"/>
  <c r="AU215" i="4"/>
  <c r="AU216" i="4"/>
  <c r="AU217" i="4"/>
  <c r="AU218" i="4"/>
  <c r="AU219" i="4"/>
  <c r="AU220" i="4"/>
  <c r="AU221" i="4"/>
  <c r="AU222" i="4"/>
  <c r="AU223" i="4"/>
  <c r="AU224" i="4"/>
  <c r="AU225" i="4"/>
  <c r="AU226" i="4"/>
  <c r="AU227" i="4"/>
  <c r="AU228" i="4"/>
  <c r="AU229" i="4"/>
  <c r="AU230" i="4"/>
  <c r="AU231" i="4"/>
  <c r="AU232" i="4"/>
  <c r="AU233" i="4"/>
  <c r="AU234" i="4"/>
  <c r="AU235" i="4"/>
  <c r="AU236" i="4"/>
  <c r="AU237" i="4"/>
  <c r="AU238" i="4"/>
  <c r="AU239" i="4"/>
  <c r="AU240" i="4"/>
  <c r="AU241" i="4"/>
  <c r="AU242" i="4"/>
  <c r="AU243" i="4"/>
  <c r="AU244" i="4"/>
  <c r="AU245" i="4"/>
  <c r="AU246" i="4"/>
  <c r="AU247" i="4"/>
  <c r="AU248" i="4"/>
  <c r="AU249" i="4"/>
  <c r="AU250" i="4"/>
  <c r="AU251" i="4"/>
  <c r="AU252" i="4"/>
  <c r="AU253" i="4"/>
  <c r="AU254" i="4"/>
  <c r="AU255" i="4"/>
  <c r="AU256" i="4"/>
  <c r="AU257" i="4"/>
  <c r="AU258" i="4"/>
  <c r="AU259" i="4"/>
  <c r="AU260" i="4"/>
  <c r="AU261" i="4"/>
  <c r="AU262" i="4"/>
  <c r="AU263" i="4"/>
  <c r="AU264" i="4"/>
  <c r="AU265" i="4"/>
  <c r="AU266" i="4"/>
  <c r="AU267" i="4"/>
  <c r="AU268" i="4"/>
  <c r="AU269" i="4"/>
  <c r="AU270" i="4"/>
  <c r="AU271" i="4"/>
  <c r="AU272" i="4"/>
  <c r="AU273" i="4"/>
  <c r="AU274" i="4"/>
  <c r="AU275" i="4"/>
  <c r="AU151" i="4"/>
  <c r="AN151" i="4"/>
  <c r="AU150" i="4" l="1"/>
  <c r="E12" i="11"/>
  <c r="E11" i="11"/>
  <c r="E10" i="11"/>
  <c r="E9" i="11"/>
  <c r="E7" i="11"/>
  <c r="E6" i="11"/>
  <c r="E13" i="11"/>
  <c r="AM433" i="4" l="1"/>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N158"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BN8" i="8"/>
  <c r="F162" i="1" s="1"/>
  <c r="AD6" i="3"/>
  <c r="AD7" i="3" s="1"/>
  <c r="D255" i="1"/>
  <c r="BA28" i="7"/>
  <c r="I247" i="1" s="1"/>
  <c r="BE24" i="7"/>
  <c r="E253" i="1" s="1"/>
  <c r="BE25" i="7"/>
  <c r="F253" i="1" s="1"/>
  <c r="BE26" i="7"/>
  <c r="G253" i="1" s="1"/>
  <c r="BE27" i="7"/>
  <c r="H253" i="1" s="1"/>
  <c r="BE28" i="7"/>
  <c r="I253" i="1" s="1"/>
  <c r="BE29" i="7"/>
  <c r="J253" i="1" s="1"/>
  <c r="BE30" i="7"/>
  <c r="K253" i="1" s="1"/>
  <c r="BE31" i="7"/>
  <c r="L253" i="1" s="1"/>
  <c r="BE32" i="7"/>
  <c r="M253" i="1" s="1"/>
  <c r="BE33" i="7"/>
  <c r="N253" i="1" s="1"/>
  <c r="BE34" i="7"/>
  <c r="O253" i="1" s="1"/>
  <c r="BE35" i="7"/>
  <c r="P253" i="1" s="1"/>
  <c r="BD24" i="7"/>
  <c r="E252" i="1" s="1"/>
  <c r="BD25" i="7"/>
  <c r="F252" i="1" s="1"/>
  <c r="BD26" i="7"/>
  <c r="G252" i="1" s="1"/>
  <c r="BD27" i="7"/>
  <c r="H252" i="1" s="1"/>
  <c r="BD28" i="7"/>
  <c r="I252" i="1" s="1"/>
  <c r="BD29" i="7"/>
  <c r="J252" i="1" s="1"/>
  <c r="BD30" i="7"/>
  <c r="K252" i="1" s="1"/>
  <c r="BD31" i="7"/>
  <c r="L252" i="1" s="1"/>
  <c r="BD32" i="7"/>
  <c r="M252" i="1" s="1"/>
  <c r="BD33" i="7"/>
  <c r="N252" i="1" s="1"/>
  <c r="BD34" i="7"/>
  <c r="O252" i="1" s="1"/>
  <c r="BD35" i="7"/>
  <c r="P252" i="1" s="1"/>
  <c r="BG24" i="7"/>
  <c r="E251" i="1" s="1"/>
  <c r="BG25" i="7"/>
  <c r="F251" i="1" s="1"/>
  <c r="BG26" i="7"/>
  <c r="G251" i="1" s="1"/>
  <c r="BG27" i="7"/>
  <c r="H251" i="1" s="1"/>
  <c r="BG28" i="7"/>
  <c r="I251" i="1" s="1"/>
  <c r="BG29" i="7"/>
  <c r="J251" i="1" s="1"/>
  <c r="BG30" i="7"/>
  <c r="K251" i="1" s="1"/>
  <c r="BG31" i="7"/>
  <c r="L251" i="1" s="1"/>
  <c r="BG32" i="7"/>
  <c r="M251" i="1" s="1"/>
  <c r="BG33" i="7"/>
  <c r="N251" i="1" s="1"/>
  <c r="BG34" i="7"/>
  <c r="O251" i="1" s="1"/>
  <c r="BG35" i="7"/>
  <c r="P251" i="1" s="1"/>
  <c r="BG23" i="7"/>
  <c r="D251" i="1" s="1"/>
  <c r="BC24" i="7"/>
  <c r="E250" i="1" s="1"/>
  <c r="BC25" i="7"/>
  <c r="F250" i="1" s="1"/>
  <c r="BC26" i="7"/>
  <c r="G250" i="1" s="1"/>
  <c r="BC27" i="7"/>
  <c r="H250" i="1" s="1"/>
  <c r="BC28" i="7"/>
  <c r="I250" i="1" s="1"/>
  <c r="BC29" i="7"/>
  <c r="J250" i="1" s="1"/>
  <c r="BC30" i="7"/>
  <c r="K250" i="1" s="1"/>
  <c r="BC31" i="7"/>
  <c r="L250" i="1" s="1"/>
  <c r="BC32" i="7"/>
  <c r="M250" i="1" s="1"/>
  <c r="BC33" i="7"/>
  <c r="N250" i="1" s="1"/>
  <c r="BC34" i="7"/>
  <c r="O250" i="1" s="1"/>
  <c r="BC35" i="7"/>
  <c r="P250" i="1" s="1"/>
  <c r="BF24" i="7"/>
  <c r="E249" i="1" s="1"/>
  <c r="BF25" i="7"/>
  <c r="F249" i="1" s="1"/>
  <c r="BF26" i="7"/>
  <c r="G249" i="1" s="1"/>
  <c r="BF27" i="7"/>
  <c r="H249" i="1" s="1"/>
  <c r="BF28" i="7"/>
  <c r="I249" i="1" s="1"/>
  <c r="BF29" i="7"/>
  <c r="J249" i="1" s="1"/>
  <c r="BF30" i="7"/>
  <c r="K249" i="1" s="1"/>
  <c r="BF31" i="7"/>
  <c r="L249" i="1" s="1"/>
  <c r="BF32" i="7"/>
  <c r="M249" i="1" s="1"/>
  <c r="BF33" i="7"/>
  <c r="N249" i="1" s="1"/>
  <c r="BF34" i="7"/>
  <c r="O249" i="1" s="1"/>
  <c r="BF35" i="7"/>
  <c r="P249" i="1" s="1"/>
  <c r="BC23" i="7"/>
  <c r="D250" i="1" s="1"/>
  <c r="BF23" i="7"/>
  <c r="D249" i="1" s="1"/>
  <c r="BB24" i="7"/>
  <c r="E248" i="1" s="1"/>
  <c r="BB25" i="7"/>
  <c r="F248" i="1" s="1"/>
  <c r="BB26" i="7"/>
  <c r="G248" i="1" s="1"/>
  <c r="BB27" i="7"/>
  <c r="H248" i="1" s="1"/>
  <c r="BB28" i="7"/>
  <c r="I248" i="1" s="1"/>
  <c r="BB29" i="7"/>
  <c r="J248" i="1" s="1"/>
  <c r="BB30" i="7"/>
  <c r="K248" i="1" s="1"/>
  <c r="BB31" i="7"/>
  <c r="L248" i="1" s="1"/>
  <c r="BB32" i="7"/>
  <c r="M248" i="1" s="1"/>
  <c r="BB33" i="7"/>
  <c r="N248" i="1" s="1"/>
  <c r="BB34" i="7"/>
  <c r="O248" i="1" s="1"/>
  <c r="BB35" i="7"/>
  <c r="P248" i="1" s="1"/>
  <c r="BA24" i="7"/>
  <c r="E247" i="1" s="1"/>
  <c r="BA25" i="7"/>
  <c r="F247" i="1" s="1"/>
  <c r="BA26" i="7"/>
  <c r="G247" i="1" s="1"/>
  <c r="BA27" i="7"/>
  <c r="H247" i="1" s="1"/>
  <c r="BA29" i="7"/>
  <c r="J247" i="1" s="1"/>
  <c r="BA30" i="7"/>
  <c r="K247" i="1" s="1"/>
  <c r="BA31" i="7"/>
  <c r="L247" i="1" s="1"/>
  <c r="BA32" i="7"/>
  <c r="M247" i="1" s="1"/>
  <c r="BA33" i="7"/>
  <c r="N247" i="1" s="1"/>
  <c r="BA34" i="7"/>
  <c r="O247" i="1" s="1"/>
  <c r="BA35" i="7"/>
  <c r="P247" i="1" s="1"/>
  <c r="AZ24" i="7"/>
  <c r="E246" i="1" s="1"/>
  <c r="AZ25" i="7"/>
  <c r="F246" i="1" s="1"/>
  <c r="AZ26" i="7"/>
  <c r="G246" i="1" s="1"/>
  <c r="AZ27" i="7"/>
  <c r="H246" i="1" s="1"/>
  <c r="AZ28" i="7"/>
  <c r="I246" i="1" s="1"/>
  <c r="AZ29" i="7"/>
  <c r="J246" i="1" s="1"/>
  <c r="AZ30" i="7"/>
  <c r="K246" i="1" s="1"/>
  <c r="AZ31" i="7"/>
  <c r="L246" i="1" s="1"/>
  <c r="AZ32" i="7"/>
  <c r="M246" i="1" s="1"/>
  <c r="AZ33" i="7"/>
  <c r="N246" i="1" s="1"/>
  <c r="AZ34" i="7"/>
  <c r="O246" i="1" s="1"/>
  <c r="AZ35" i="7"/>
  <c r="P246" i="1" s="1"/>
  <c r="AZ23" i="7"/>
  <c r="D246" i="1" s="1"/>
  <c r="BE23" i="7"/>
  <c r="D253" i="1" s="1"/>
  <c r="BD23" i="7"/>
  <c r="D252" i="1" s="1"/>
  <c r="BB23" i="7"/>
  <c r="D248" i="1" s="1"/>
  <c r="BA23" i="7"/>
  <c r="D247" i="1" s="1"/>
  <c r="BD7" i="7"/>
  <c r="E240" i="1" s="1"/>
  <c r="BD8" i="7"/>
  <c r="F240" i="1" s="1"/>
  <c r="BD9" i="7"/>
  <c r="G240" i="1" s="1"/>
  <c r="BD10" i="7"/>
  <c r="H240" i="1" s="1"/>
  <c r="BD11" i="7"/>
  <c r="I240" i="1" s="1"/>
  <c r="BD12" i="7"/>
  <c r="J240" i="1" s="1"/>
  <c r="BD13" i="7"/>
  <c r="K240" i="1" s="1"/>
  <c r="BD14" i="7"/>
  <c r="L240" i="1" s="1"/>
  <c r="BD15" i="7"/>
  <c r="M240" i="1" s="1"/>
  <c r="BD16" i="7"/>
  <c r="N240" i="1" s="1"/>
  <c r="BD17" i="7"/>
  <c r="O240" i="1" s="1"/>
  <c r="BD18" i="7"/>
  <c r="P240" i="1" s="1"/>
  <c r="BE18" i="7"/>
  <c r="P241" i="1" s="1"/>
  <c r="BE7" i="7"/>
  <c r="E241" i="1" s="1"/>
  <c r="BE8" i="7"/>
  <c r="F241" i="1" s="1"/>
  <c r="BE9" i="7"/>
  <c r="G241" i="1" s="1"/>
  <c r="BE10" i="7"/>
  <c r="H241" i="1" s="1"/>
  <c r="BE11" i="7"/>
  <c r="I241" i="1" s="1"/>
  <c r="BE12" i="7"/>
  <c r="J241" i="1" s="1"/>
  <c r="BE13" i="7"/>
  <c r="K241" i="1" s="1"/>
  <c r="BE14" i="7"/>
  <c r="L241" i="1" s="1"/>
  <c r="BE15" i="7"/>
  <c r="M241" i="1" s="1"/>
  <c r="BE16" i="7"/>
  <c r="N241" i="1" s="1"/>
  <c r="BE17" i="7"/>
  <c r="O241" i="1" s="1"/>
  <c r="BC7" i="7"/>
  <c r="E238" i="1" s="1"/>
  <c r="BC8" i="7"/>
  <c r="F238" i="1" s="1"/>
  <c r="BC9" i="7"/>
  <c r="G238" i="1" s="1"/>
  <c r="BC10" i="7"/>
  <c r="H238" i="1" s="1"/>
  <c r="BC11" i="7"/>
  <c r="I238" i="1" s="1"/>
  <c r="BC12" i="7"/>
  <c r="J238" i="1" s="1"/>
  <c r="BC13" i="7"/>
  <c r="K238" i="1" s="1"/>
  <c r="BC14" i="7"/>
  <c r="L238" i="1" s="1"/>
  <c r="BC15" i="7"/>
  <c r="M238" i="1" s="1"/>
  <c r="BC16" i="7"/>
  <c r="N238" i="1" s="1"/>
  <c r="BC17" i="7"/>
  <c r="O238" i="1" s="1"/>
  <c r="BC18" i="7"/>
  <c r="P238" i="1" s="1"/>
  <c r="BG7" i="7"/>
  <c r="E239" i="1" s="1"/>
  <c r="BG8" i="7"/>
  <c r="F239" i="1" s="1"/>
  <c r="BG9" i="7"/>
  <c r="G239" i="1" s="1"/>
  <c r="BG10" i="7"/>
  <c r="H239" i="1" s="1"/>
  <c r="BG11" i="7"/>
  <c r="I239" i="1" s="1"/>
  <c r="BG12" i="7"/>
  <c r="J239" i="1" s="1"/>
  <c r="BG13" i="7"/>
  <c r="K239" i="1" s="1"/>
  <c r="BG14" i="7"/>
  <c r="L239" i="1" s="1"/>
  <c r="BG15" i="7"/>
  <c r="M239" i="1" s="1"/>
  <c r="BG16" i="7"/>
  <c r="N239" i="1" s="1"/>
  <c r="BG17" i="7"/>
  <c r="O239" i="1" s="1"/>
  <c r="BG18" i="7"/>
  <c r="P239" i="1" s="1"/>
  <c r="BG6" i="7"/>
  <c r="D239" i="1" s="1"/>
  <c r="BC6" i="7"/>
  <c r="D238" i="1" s="1"/>
  <c r="BF7" i="7"/>
  <c r="E237" i="1" s="1"/>
  <c r="BF8" i="7"/>
  <c r="F237" i="1" s="1"/>
  <c r="BF9" i="7"/>
  <c r="G237" i="1" s="1"/>
  <c r="BF10" i="7"/>
  <c r="H237" i="1" s="1"/>
  <c r="BF11" i="7"/>
  <c r="I237" i="1" s="1"/>
  <c r="BF12" i="7"/>
  <c r="J237" i="1" s="1"/>
  <c r="BF13" i="7"/>
  <c r="K237" i="1" s="1"/>
  <c r="BF14" i="7"/>
  <c r="L237" i="1" s="1"/>
  <c r="BF15" i="7"/>
  <c r="M237" i="1" s="1"/>
  <c r="BF16" i="7"/>
  <c r="N237" i="1" s="1"/>
  <c r="BF17" i="7"/>
  <c r="O237" i="1" s="1"/>
  <c r="BF18" i="7"/>
  <c r="P237" i="1" s="1"/>
  <c r="BF6" i="7"/>
  <c r="D237" i="1" s="1"/>
  <c r="BB7" i="7"/>
  <c r="E236" i="1" s="1"/>
  <c r="BB8" i="7"/>
  <c r="F236" i="1" s="1"/>
  <c r="BB9" i="7"/>
  <c r="G236" i="1" s="1"/>
  <c r="BB10" i="7"/>
  <c r="H236" i="1" s="1"/>
  <c r="BB11" i="7"/>
  <c r="I236" i="1" s="1"/>
  <c r="BB12" i="7"/>
  <c r="J236" i="1" s="1"/>
  <c r="BB13" i="7"/>
  <c r="K236" i="1" s="1"/>
  <c r="BB14" i="7"/>
  <c r="L236" i="1" s="1"/>
  <c r="BB15" i="7"/>
  <c r="M236" i="1" s="1"/>
  <c r="BB16" i="7"/>
  <c r="N236" i="1" s="1"/>
  <c r="BB17" i="7"/>
  <c r="O236" i="1" s="1"/>
  <c r="BB18" i="7"/>
  <c r="P236" i="1" s="1"/>
  <c r="BA7" i="7"/>
  <c r="E235" i="1" s="1"/>
  <c r="BA8" i="7"/>
  <c r="F235" i="1" s="1"/>
  <c r="BA9" i="7"/>
  <c r="G235" i="1" s="1"/>
  <c r="BA10" i="7"/>
  <c r="H235" i="1" s="1"/>
  <c r="BA11" i="7"/>
  <c r="I235" i="1" s="1"/>
  <c r="BA12" i="7"/>
  <c r="J235" i="1" s="1"/>
  <c r="BA13" i="7"/>
  <c r="K235" i="1" s="1"/>
  <c r="BA14" i="7"/>
  <c r="L235" i="1" s="1"/>
  <c r="BA15" i="7"/>
  <c r="M235" i="1" s="1"/>
  <c r="BA16" i="7"/>
  <c r="N235" i="1" s="1"/>
  <c r="BA17" i="7"/>
  <c r="O235" i="1" s="1"/>
  <c r="BA18" i="7"/>
  <c r="P235" i="1" s="1"/>
  <c r="BA6" i="7"/>
  <c r="D235" i="1" s="1"/>
  <c r="AZ18" i="7"/>
  <c r="P234" i="1" s="1"/>
  <c r="AZ7" i="7"/>
  <c r="E234" i="1" s="1"/>
  <c r="AZ8" i="7"/>
  <c r="F234" i="1" s="1"/>
  <c r="AZ9" i="7"/>
  <c r="G234" i="1" s="1"/>
  <c r="AZ10" i="7"/>
  <c r="H234" i="1" s="1"/>
  <c r="AZ11" i="7"/>
  <c r="I234" i="1" s="1"/>
  <c r="AZ12" i="7"/>
  <c r="J234" i="1" s="1"/>
  <c r="AZ13" i="7"/>
  <c r="K234" i="1" s="1"/>
  <c r="AZ14" i="7"/>
  <c r="L234" i="1" s="1"/>
  <c r="AZ15" i="7"/>
  <c r="M234" i="1" s="1"/>
  <c r="AZ16" i="7"/>
  <c r="N234" i="1" s="1"/>
  <c r="AZ17" i="7"/>
  <c r="O234" i="1" s="1"/>
  <c r="AZ6" i="7"/>
  <c r="D234" i="1" s="1"/>
  <c r="BE6" i="7"/>
  <c r="D241" i="1" s="1"/>
  <c r="BD6" i="7"/>
  <c r="D240" i="1" s="1"/>
  <c r="BB6" i="7"/>
  <c r="D236" i="1" s="1"/>
  <c r="R5" i="7"/>
  <c r="E228" i="1" s="1"/>
  <c r="R6" i="7"/>
  <c r="F228" i="1" s="1"/>
  <c r="R7" i="7"/>
  <c r="G228" i="1" s="1"/>
  <c r="R8" i="7"/>
  <c r="H228" i="1" s="1"/>
  <c r="R9" i="7"/>
  <c r="I228" i="1" s="1"/>
  <c r="R10" i="7"/>
  <c r="J228" i="1" s="1"/>
  <c r="R11" i="7"/>
  <c r="K228" i="1" s="1"/>
  <c r="R12" i="7"/>
  <c r="L228" i="1" s="1"/>
  <c r="R13" i="7"/>
  <c r="M228" i="1" s="1"/>
  <c r="R14" i="7"/>
  <c r="N228" i="1" s="1"/>
  <c r="R15" i="7"/>
  <c r="O228" i="1" s="1"/>
  <c r="R16" i="7"/>
  <c r="P228" i="1" s="1"/>
  <c r="S5" i="7"/>
  <c r="E229" i="1" s="1"/>
  <c r="S6" i="7"/>
  <c r="F229" i="1" s="1"/>
  <c r="S7" i="7"/>
  <c r="G229" i="1" s="1"/>
  <c r="S8" i="7"/>
  <c r="H229" i="1" s="1"/>
  <c r="S9" i="7"/>
  <c r="I229" i="1" s="1"/>
  <c r="S10" i="7"/>
  <c r="J229" i="1" s="1"/>
  <c r="S11" i="7"/>
  <c r="K229" i="1" s="1"/>
  <c r="S12" i="7"/>
  <c r="L229" i="1" s="1"/>
  <c r="S13" i="7"/>
  <c r="M229" i="1" s="1"/>
  <c r="S14" i="7"/>
  <c r="N229" i="1" s="1"/>
  <c r="S15" i="7"/>
  <c r="O229" i="1" s="1"/>
  <c r="S16" i="7"/>
  <c r="P229" i="1" s="1"/>
  <c r="U5" i="7"/>
  <c r="E227" i="1" s="1"/>
  <c r="U6" i="7"/>
  <c r="F227" i="1" s="1"/>
  <c r="U7" i="7"/>
  <c r="G227" i="1" s="1"/>
  <c r="U8" i="7"/>
  <c r="H227" i="1" s="1"/>
  <c r="U9" i="7"/>
  <c r="I227" i="1" s="1"/>
  <c r="U10" i="7"/>
  <c r="J227" i="1" s="1"/>
  <c r="U11" i="7"/>
  <c r="K227" i="1" s="1"/>
  <c r="U12" i="7"/>
  <c r="L227" i="1" s="1"/>
  <c r="U13" i="7"/>
  <c r="M227" i="1" s="1"/>
  <c r="U14" i="7"/>
  <c r="N227" i="1" s="1"/>
  <c r="U15" i="7"/>
  <c r="O227" i="1" s="1"/>
  <c r="U16" i="7"/>
  <c r="P227" i="1" s="1"/>
  <c r="U4" i="7"/>
  <c r="D227" i="1" s="1"/>
  <c r="Q5" i="7"/>
  <c r="E226" i="1" s="1"/>
  <c r="Q6" i="7"/>
  <c r="F226" i="1" s="1"/>
  <c r="Q7" i="7"/>
  <c r="G226" i="1" s="1"/>
  <c r="Q8" i="7"/>
  <c r="H226" i="1" s="1"/>
  <c r="Q9" i="7"/>
  <c r="I226" i="1" s="1"/>
  <c r="Q10" i="7"/>
  <c r="J226" i="1" s="1"/>
  <c r="Q11" i="7"/>
  <c r="K226" i="1" s="1"/>
  <c r="Q12" i="7"/>
  <c r="L226" i="1" s="1"/>
  <c r="Q13" i="7"/>
  <c r="M226" i="1" s="1"/>
  <c r="Q14" i="7"/>
  <c r="N226" i="1" s="1"/>
  <c r="Q15" i="7"/>
  <c r="O226" i="1" s="1"/>
  <c r="Q16" i="7"/>
  <c r="P226" i="1" s="1"/>
  <c r="Q4" i="7"/>
  <c r="D226" i="1" s="1"/>
  <c r="T5" i="7"/>
  <c r="E225" i="1" s="1"/>
  <c r="T6" i="7"/>
  <c r="F225" i="1" s="1"/>
  <c r="T7" i="7"/>
  <c r="G225" i="1" s="1"/>
  <c r="T8" i="7"/>
  <c r="H225" i="1" s="1"/>
  <c r="T9" i="7"/>
  <c r="I225" i="1" s="1"/>
  <c r="T10" i="7"/>
  <c r="J225" i="1" s="1"/>
  <c r="T11" i="7"/>
  <c r="K225" i="1" s="1"/>
  <c r="T12" i="7"/>
  <c r="L225" i="1" s="1"/>
  <c r="T13" i="7"/>
  <c r="M225" i="1" s="1"/>
  <c r="T14" i="7"/>
  <c r="N225" i="1" s="1"/>
  <c r="T15" i="7"/>
  <c r="O225" i="1" s="1"/>
  <c r="T16" i="7"/>
  <c r="P225" i="1" s="1"/>
  <c r="T4" i="7"/>
  <c r="D225" i="1" s="1"/>
  <c r="P5" i="7"/>
  <c r="E224" i="1" s="1"/>
  <c r="P6" i="7"/>
  <c r="F224" i="1" s="1"/>
  <c r="P7" i="7"/>
  <c r="G224" i="1" s="1"/>
  <c r="P8" i="7"/>
  <c r="H224" i="1" s="1"/>
  <c r="P9" i="7"/>
  <c r="I224" i="1" s="1"/>
  <c r="P10" i="7"/>
  <c r="J224" i="1" s="1"/>
  <c r="P11" i="7"/>
  <c r="K224" i="1" s="1"/>
  <c r="P12" i="7"/>
  <c r="L224" i="1" s="1"/>
  <c r="P13" i="7"/>
  <c r="M224" i="1" s="1"/>
  <c r="P14" i="7"/>
  <c r="N224" i="1" s="1"/>
  <c r="P15" i="7"/>
  <c r="O224" i="1" s="1"/>
  <c r="P16" i="7"/>
  <c r="P224" i="1" s="1"/>
  <c r="O4" i="7"/>
  <c r="D223" i="1" s="1"/>
  <c r="O5" i="7"/>
  <c r="E223" i="1" s="1"/>
  <c r="O6" i="7"/>
  <c r="F223" i="1" s="1"/>
  <c r="O7" i="7"/>
  <c r="G223" i="1" s="1"/>
  <c r="O8" i="7"/>
  <c r="H223" i="1" s="1"/>
  <c r="O9" i="7"/>
  <c r="I223" i="1" s="1"/>
  <c r="O10" i="7"/>
  <c r="J223" i="1" s="1"/>
  <c r="O11" i="7"/>
  <c r="K223" i="1" s="1"/>
  <c r="O12" i="7"/>
  <c r="L223" i="1" s="1"/>
  <c r="O13" i="7"/>
  <c r="M223" i="1" s="1"/>
  <c r="O14" i="7"/>
  <c r="N223" i="1" s="1"/>
  <c r="O15" i="7"/>
  <c r="O223" i="1" s="1"/>
  <c r="O16" i="7"/>
  <c r="P223" i="1" s="1"/>
  <c r="P222" i="1"/>
  <c r="N15" i="7"/>
  <c r="O222" i="1" s="1"/>
  <c r="N14" i="7"/>
  <c r="N222" i="1" s="1"/>
  <c r="N13" i="7"/>
  <c r="M222" i="1" s="1"/>
  <c r="N12" i="7"/>
  <c r="L222" i="1" s="1"/>
  <c r="N11" i="7"/>
  <c r="K222" i="1" s="1"/>
  <c r="N10" i="7"/>
  <c r="J222" i="1" s="1"/>
  <c r="N9" i="7"/>
  <c r="I222" i="1" s="1"/>
  <c r="N8" i="7"/>
  <c r="H222" i="1" s="1"/>
  <c r="N7" i="7"/>
  <c r="G222" i="1" s="1"/>
  <c r="N6" i="7"/>
  <c r="F222" i="1" s="1"/>
  <c r="N5" i="7"/>
  <c r="E222" i="1" s="1"/>
  <c r="D222" i="1"/>
  <c r="S4" i="7"/>
  <c r="D229" i="1" s="1"/>
  <c r="R4" i="7"/>
  <c r="D228" i="1" s="1"/>
  <c r="P4" i="7"/>
  <c r="D224" i="1" s="1"/>
  <c r="BR7" i="11"/>
  <c r="BR8" i="11"/>
  <c r="BR9" i="11"/>
  <c r="BR10" i="11"/>
  <c r="BR11" i="11"/>
  <c r="BR12" i="11"/>
  <c r="BR13" i="11"/>
  <c r="BR14" i="11"/>
  <c r="BR15" i="11"/>
  <c r="BR16" i="11"/>
  <c r="BR17" i="11"/>
  <c r="BR18" i="11"/>
  <c r="BQ7" i="11"/>
  <c r="BQ8" i="11"/>
  <c r="BQ9" i="11"/>
  <c r="BQ10" i="11"/>
  <c r="BQ11" i="11"/>
  <c r="BQ12" i="11"/>
  <c r="BQ13" i="11"/>
  <c r="BQ14" i="11"/>
  <c r="BQ15" i="11"/>
  <c r="BQ16" i="11"/>
  <c r="BQ17" i="11"/>
  <c r="BQ18" i="11"/>
  <c r="BT7" i="11"/>
  <c r="BT8" i="11"/>
  <c r="BT9" i="11"/>
  <c r="BT10" i="11"/>
  <c r="BT11" i="11"/>
  <c r="BT12" i="11"/>
  <c r="BT13" i="11"/>
  <c r="BT14" i="11"/>
  <c r="BT15" i="11"/>
  <c r="BT16" i="11"/>
  <c r="BT17" i="11"/>
  <c r="BT18" i="11"/>
  <c r="BT6" i="11"/>
  <c r="BP7" i="11"/>
  <c r="BP8" i="11"/>
  <c r="BP9" i="11"/>
  <c r="BP10" i="11"/>
  <c r="BP11" i="11"/>
  <c r="BP12" i="11"/>
  <c r="BP13" i="11"/>
  <c r="BP14" i="11"/>
  <c r="BP15" i="11"/>
  <c r="BP16" i="11"/>
  <c r="BP17" i="11"/>
  <c r="BP18" i="11"/>
  <c r="BP6" i="11"/>
  <c r="BS7" i="11"/>
  <c r="BS8" i="11"/>
  <c r="BS9" i="11"/>
  <c r="BS10" i="11"/>
  <c r="BS11" i="11"/>
  <c r="BS12" i="11"/>
  <c r="BS13" i="11"/>
  <c r="BS14" i="11"/>
  <c r="BS15" i="11"/>
  <c r="BS16" i="11"/>
  <c r="BS17" i="11"/>
  <c r="BS18" i="11"/>
  <c r="BS6" i="11"/>
  <c r="BO7" i="11"/>
  <c r="BO8" i="11"/>
  <c r="BO9" i="11"/>
  <c r="BO10" i="11"/>
  <c r="BO11" i="11"/>
  <c r="BO12" i="11"/>
  <c r="BO13" i="11"/>
  <c r="BO14" i="11"/>
  <c r="BO15" i="11"/>
  <c r="BO16" i="11"/>
  <c r="BO17" i="11"/>
  <c r="BO18" i="11"/>
  <c r="BN7" i="11"/>
  <c r="BN8" i="11"/>
  <c r="BN9" i="11"/>
  <c r="BN10" i="11"/>
  <c r="BN11" i="11"/>
  <c r="BN12" i="11"/>
  <c r="BN13" i="11"/>
  <c r="BN14" i="11"/>
  <c r="BN15" i="11"/>
  <c r="BN16" i="11"/>
  <c r="BN17" i="11"/>
  <c r="BN18" i="11"/>
  <c r="BM7" i="11"/>
  <c r="BM8" i="11"/>
  <c r="BM9" i="11"/>
  <c r="BM10" i="11"/>
  <c r="BM11" i="11"/>
  <c r="BM12" i="11"/>
  <c r="BM13" i="11"/>
  <c r="BM14" i="11"/>
  <c r="BM15" i="11"/>
  <c r="BM16" i="11"/>
  <c r="BM17" i="11"/>
  <c r="BM18" i="11"/>
  <c r="BR6" i="11"/>
  <c r="BQ6" i="11"/>
  <c r="BO6" i="11"/>
  <c r="BN6" i="11"/>
  <c r="BM6" i="11"/>
  <c r="AI7" i="11"/>
  <c r="E203" i="1" s="1"/>
  <c r="AI8" i="11"/>
  <c r="F203" i="1" s="1"/>
  <c r="AI9" i="11"/>
  <c r="G203" i="1" s="1"/>
  <c r="AI10" i="11"/>
  <c r="H203" i="1" s="1"/>
  <c r="AI11" i="11"/>
  <c r="I203" i="1" s="1"/>
  <c r="AI12" i="11"/>
  <c r="J203" i="1" s="1"/>
  <c r="AI13" i="11"/>
  <c r="K203" i="1" s="1"/>
  <c r="AI14" i="11"/>
  <c r="L203" i="1" s="1"/>
  <c r="AI15" i="11"/>
  <c r="M203" i="1" s="1"/>
  <c r="AI16" i="11"/>
  <c r="N203" i="1" s="1"/>
  <c r="AI17" i="11"/>
  <c r="O203" i="1" s="1"/>
  <c r="AI18" i="11"/>
  <c r="P203" i="1" s="1"/>
  <c r="AF7" i="11"/>
  <c r="E204" i="1" s="1"/>
  <c r="AF8" i="11"/>
  <c r="F204" i="1" s="1"/>
  <c r="AF9" i="11"/>
  <c r="G204" i="1" s="1"/>
  <c r="AF10" i="11"/>
  <c r="H204" i="1" s="1"/>
  <c r="AF11" i="11"/>
  <c r="I204" i="1" s="1"/>
  <c r="AF12" i="11"/>
  <c r="J204" i="1" s="1"/>
  <c r="AF13" i="11"/>
  <c r="K204" i="1" s="1"/>
  <c r="AF14" i="11"/>
  <c r="L204" i="1" s="1"/>
  <c r="AF15" i="11"/>
  <c r="M204" i="1" s="1"/>
  <c r="AF16" i="11"/>
  <c r="N204" i="1" s="1"/>
  <c r="AF17" i="11"/>
  <c r="O204" i="1" s="1"/>
  <c r="AF18" i="11"/>
  <c r="P204" i="1" s="1"/>
  <c r="AG7" i="11"/>
  <c r="E205" i="1" s="1"/>
  <c r="AG8" i="11"/>
  <c r="F205" i="1" s="1"/>
  <c r="AG9" i="11"/>
  <c r="G205" i="1" s="1"/>
  <c r="AG10" i="11"/>
  <c r="H205" i="1" s="1"/>
  <c r="AG11" i="11"/>
  <c r="I205" i="1" s="1"/>
  <c r="AG12" i="11"/>
  <c r="J205" i="1" s="1"/>
  <c r="AG13" i="11"/>
  <c r="K205" i="1" s="1"/>
  <c r="AG14" i="11"/>
  <c r="L205" i="1" s="1"/>
  <c r="AG15" i="11"/>
  <c r="M205" i="1" s="1"/>
  <c r="AG16" i="11"/>
  <c r="N205" i="1" s="1"/>
  <c r="AG17" i="11"/>
  <c r="O205" i="1" s="1"/>
  <c r="AG18" i="11"/>
  <c r="P205" i="1" s="1"/>
  <c r="AG6" i="11"/>
  <c r="D205" i="1" s="1"/>
  <c r="AI6" i="11"/>
  <c r="D203" i="1" s="1"/>
  <c r="AE7" i="11"/>
  <c r="E202" i="1" s="1"/>
  <c r="AE8" i="11"/>
  <c r="F202" i="1" s="1"/>
  <c r="AE9" i="11"/>
  <c r="G202" i="1" s="1"/>
  <c r="AE10" i="11"/>
  <c r="H202" i="1" s="1"/>
  <c r="AE11" i="11"/>
  <c r="I202" i="1" s="1"/>
  <c r="AE12" i="11"/>
  <c r="J202" i="1" s="1"/>
  <c r="AE13" i="11"/>
  <c r="K202" i="1" s="1"/>
  <c r="AE14" i="11"/>
  <c r="L202" i="1" s="1"/>
  <c r="AE15" i="11"/>
  <c r="M202" i="1" s="1"/>
  <c r="AE16" i="11"/>
  <c r="N202" i="1" s="1"/>
  <c r="AE17" i="11"/>
  <c r="O202" i="1" s="1"/>
  <c r="AE18" i="11"/>
  <c r="P202" i="1" s="1"/>
  <c r="AE6" i="11"/>
  <c r="D202" i="1" s="1"/>
  <c r="AH7" i="11"/>
  <c r="E201" i="1" s="1"/>
  <c r="AH8" i="11"/>
  <c r="F201" i="1" s="1"/>
  <c r="AH9" i="11"/>
  <c r="G201" i="1" s="1"/>
  <c r="AH10" i="11"/>
  <c r="H201" i="1" s="1"/>
  <c r="AH11" i="11"/>
  <c r="I201" i="1" s="1"/>
  <c r="AH12" i="11"/>
  <c r="J201" i="1" s="1"/>
  <c r="AH13" i="11"/>
  <c r="K201" i="1" s="1"/>
  <c r="AH14" i="11"/>
  <c r="L201" i="1" s="1"/>
  <c r="AH15" i="11"/>
  <c r="M201" i="1" s="1"/>
  <c r="AH16" i="11"/>
  <c r="N201" i="1" s="1"/>
  <c r="AH17" i="11"/>
  <c r="O201" i="1" s="1"/>
  <c r="AH18" i="11"/>
  <c r="P201" i="1" s="1"/>
  <c r="AH6" i="11"/>
  <c r="D201" i="1" s="1"/>
  <c r="AD7" i="11"/>
  <c r="E200" i="1" s="1"/>
  <c r="AD8" i="11"/>
  <c r="F200" i="1" s="1"/>
  <c r="AD9" i="11"/>
  <c r="G200" i="1" s="1"/>
  <c r="AD10" i="11"/>
  <c r="H200" i="1" s="1"/>
  <c r="AD11" i="11"/>
  <c r="I200" i="1" s="1"/>
  <c r="AD12" i="11"/>
  <c r="J200" i="1" s="1"/>
  <c r="AD13" i="11"/>
  <c r="K200" i="1" s="1"/>
  <c r="AD14" i="11"/>
  <c r="L200" i="1" s="1"/>
  <c r="AD15" i="11"/>
  <c r="M200" i="1" s="1"/>
  <c r="AD16" i="11"/>
  <c r="N200" i="1" s="1"/>
  <c r="AD17" i="11"/>
  <c r="O200" i="1" s="1"/>
  <c r="AD18" i="11"/>
  <c r="P200" i="1" s="1"/>
  <c r="AC7" i="11"/>
  <c r="E199" i="1" s="1"/>
  <c r="AC8" i="11"/>
  <c r="F199" i="1" s="1"/>
  <c r="AC9" i="11"/>
  <c r="G199" i="1" s="1"/>
  <c r="AC10" i="11"/>
  <c r="H199" i="1" s="1"/>
  <c r="AC11" i="11"/>
  <c r="I199" i="1" s="1"/>
  <c r="AC12" i="11"/>
  <c r="J199" i="1" s="1"/>
  <c r="AC13" i="11"/>
  <c r="K199" i="1" s="1"/>
  <c r="AC14" i="11"/>
  <c r="L199" i="1" s="1"/>
  <c r="AC15" i="11"/>
  <c r="M199" i="1" s="1"/>
  <c r="AC16" i="11"/>
  <c r="N199" i="1" s="1"/>
  <c r="AC17" i="11"/>
  <c r="O199" i="1" s="1"/>
  <c r="AC18" i="11"/>
  <c r="P199" i="1" s="1"/>
  <c r="AB7" i="11"/>
  <c r="E198" i="1" s="1"/>
  <c r="AB8" i="11"/>
  <c r="F198" i="1" s="1"/>
  <c r="AB9" i="11"/>
  <c r="G198" i="1" s="1"/>
  <c r="AB10" i="11"/>
  <c r="H198" i="1" s="1"/>
  <c r="AB11" i="11"/>
  <c r="I198" i="1" s="1"/>
  <c r="AB12" i="11"/>
  <c r="J198" i="1" s="1"/>
  <c r="AB13" i="11"/>
  <c r="K198" i="1" s="1"/>
  <c r="AB14" i="11"/>
  <c r="L198" i="1" s="1"/>
  <c r="AB15" i="11"/>
  <c r="M198" i="1" s="1"/>
  <c r="AB16" i="11"/>
  <c r="N198" i="1" s="1"/>
  <c r="AB17" i="11"/>
  <c r="O198" i="1" s="1"/>
  <c r="AB18" i="11"/>
  <c r="P198" i="1" s="1"/>
  <c r="AF6" i="11"/>
  <c r="D204" i="1" s="1"/>
  <c r="AD6" i="11"/>
  <c r="D200" i="1" s="1"/>
  <c r="AC6" i="11"/>
  <c r="D199" i="1" s="1"/>
  <c r="AB6" i="11"/>
  <c r="D198" i="1" s="1"/>
  <c r="Q205" i="1"/>
  <c r="Q204" i="1"/>
  <c r="Q203" i="1"/>
  <c r="Q200" i="1"/>
  <c r="Q199" i="1"/>
  <c r="Q198" i="1"/>
  <c r="Q181" i="1"/>
  <c r="Q180" i="1"/>
  <c r="Q179" i="1"/>
  <c r="Q176" i="1"/>
  <c r="Q175" i="1"/>
  <c r="Q174" i="1"/>
  <c r="BS7" i="10"/>
  <c r="E193" i="1" s="1"/>
  <c r="BS8" i="10"/>
  <c r="F193" i="1" s="1"/>
  <c r="BS9" i="10"/>
  <c r="G193" i="1" s="1"/>
  <c r="BS10" i="10"/>
  <c r="H193" i="1" s="1"/>
  <c r="BS11" i="10"/>
  <c r="I193" i="1" s="1"/>
  <c r="BS12" i="10"/>
  <c r="J193" i="1" s="1"/>
  <c r="BS13" i="10"/>
  <c r="K193" i="1" s="1"/>
  <c r="BS14" i="10"/>
  <c r="L193" i="1" s="1"/>
  <c r="BS15" i="10"/>
  <c r="M193" i="1" s="1"/>
  <c r="BS16" i="10"/>
  <c r="N193" i="1" s="1"/>
  <c r="BS17" i="10"/>
  <c r="O193" i="1" s="1"/>
  <c r="BS18" i="10"/>
  <c r="P193" i="1" s="1"/>
  <c r="BR7" i="10"/>
  <c r="E192" i="1" s="1"/>
  <c r="BR8" i="10"/>
  <c r="F192" i="1" s="1"/>
  <c r="BR9" i="10"/>
  <c r="G192" i="1" s="1"/>
  <c r="BR10" i="10"/>
  <c r="H192" i="1" s="1"/>
  <c r="BR11" i="10"/>
  <c r="I192" i="1" s="1"/>
  <c r="BR12" i="10"/>
  <c r="J192" i="1" s="1"/>
  <c r="BR13" i="10"/>
  <c r="K192" i="1" s="1"/>
  <c r="BR14" i="10"/>
  <c r="L192" i="1" s="1"/>
  <c r="BR15" i="10"/>
  <c r="M192" i="1" s="1"/>
  <c r="BR16" i="10"/>
  <c r="N192" i="1" s="1"/>
  <c r="BR17" i="10"/>
  <c r="O192" i="1" s="1"/>
  <c r="BR18" i="10"/>
  <c r="P192" i="1" s="1"/>
  <c r="BU7" i="10"/>
  <c r="E191" i="1" s="1"/>
  <c r="BU8" i="10"/>
  <c r="F191" i="1" s="1"/>
  <c r="BU9" i="10"/>
  <c r="G191" i="1" s="1"/>
  <c r="BU10" i="10"/>
  <c r="H191" i="1" s="1"/>
  <c r="BU11" i="10"/>
  <c r="I191" i="1" s="1"/>
  <c r="BU12" i="10"/>
  <c r="J191" i="1" s="1"/>
  <c r="BU13" i="10"/>
  <c r="K191" i="1" s="1"/>
  <c r="BU14" i="10"/>
  <c r="L191" i="1" s="1"/>
  <c r="BU15" i="10"/>
  <c r="M191" i="1" s="1"/>
  <c r="BU16" i="10"/>
  <c r="N191" i="1" s="1"/>
  <c r="BU17" i="10"/>
  <c r="O191" i="1" s="1"/>
  <c r="BU18" i="10"/>
  <c r="P191" i="1" s="1"/>
  <c r="BU6" i="10"/>
  <c r="D191" i="1" s="1"/>
  <c r="BQ7" i="10"/>
  <c r="E190" i="1" s="1"/>
  <c r="BQ8" i="10"/>
  <c r="F190" i="1" s="1"/>
  <c r="BQ9" i="10"/>
  <c r="G190" i="1" s="1"/>
  <c r="BQ10" i="10"/>
  <c r="H190" i="1" s="1"/>
  <c r="BQ11" i="10"/>
  <c r="I190" i="1" s="1"/>
  <c r="BQ12" i="10"/>
  <c r="J190" i="1" s="1"/>
  <c r="BQ13" i="10"/>
  <c r="K190" i="1" s="1"/>
  <c r="BQ14" i="10"/>
  <c r="L190" i="1" s="1"/>
  <c r="BQ15" i="10"/>
  <c r="M190" i="1" s="1"/>
  <c r="BQ16" i="10"/>
  <c r="N190" i="1" s="1"/>
  <c r="BQ17" i="10"/>
  <c r="O190" i="1" s="1"/>
  <c r="BQ18" i="10"/>
  <c r="P190" i="1" s="1"/>
  <c r="BQ6" i="10"/>
  <c r="D190" i="1" s="1"/>
  <c r="BT7" i="10"/>
  <c r="E189" i="1" s="1"/>
  <c r="BT8" i="10"/>
  <c r="F189" i="1" s="1"/>
  <c r="BT9" i="10"/>
  <c r="G189" i="1" s="1"/>
  <c r="BT10" i="10"/>
  <c r="H189" i="1" s="1"/>
  <c r="BT11" i="10"/>
  <c r="I189" i="1" s="1"/>
  <c r="BT12" i="10"/>
  <c r="J189" i="1" s="1"/>
  <c r="BT13" i="10"/>
  <c r="K189" i="1" s="1"/>
  <c r="BT14" i="10"/>
  <c r="L189" i="1" s="1"/>
  <c r="BT15" i="10"/>
  <c r="M189" i="1" s="1"/>
  <c r="BT16" i="10"/>
  <c r="N189" i="1" s="1"/>
  <c r="BT17" i="10"/>
  <c r="O189" i="1" s="1"/>
  <c r="BT18" i="10"/>
  <c r="P189" i="1" s="1"/>
  <c r="BT6" i="10"/>
  <c r="D189" i="1" s="1"/>
  <c r="BP7" i="10"/>
  <c r="E188" i="1" s="1"/>
  <c r="BP8" i="10"/>
  <c r="F188" i="1" s="1"/>
  <c r="BP9" i="10"/>
  <c r="G188" i="1" s="1"/>
  <c r="BP10" i="10"/>
  <c r="H188" i="1" s="1"/>
  <c r="BP11" i="10"/>
  <c r="I188" i="1" s="1"/>
  <c r="BP12" i="10"/>
  <c r="J188" i="1" s="1"/>
  <c r="BP13" i="10"/>
  <c r="K188" i="1" s="1"/>
  <c r="BP14" i="10"/>
  <c r="L188" i="1" s="1"/>
  <c r="BP15" i="10"/>
  <c r="M188" i="1" s="1"/>
  <c r="BP16" i="10"/>
  <c r="N188" i="1" s="1"/>
  <c r="BP17" i="10"/>
  <c r="O188" i="1" s="1"/>
  <c r="BP18" i="10"/>
  <c r="P188" i="1" s="1"/>
  <c r="BO7" i="10"/>
  <c r="E187" i="1" s="1"/>
  <c r="BO8" i="10"/>
  <c r="F187" i="1" s="1"/>
  <c r="BO9" i="10"/>
  <c r="G187" i="1" s="1"/>
  <c r="BO10" i="10"/>
  <c r="H187" i="1" s="1"/>
  <c r="BO11" i="10"/>
  <c r="I187" i="1" s="1"/>
  <c r="BO12" i="10"/>
  <c r="J187" i="1" s="1"/>
  <c r="BO13" i="10"/>
  <c r="K187" i="1" s="1"/>
  <c r="BO14" i="10"/>
  <c r="L187" i="1" s="1"/>
  <c r="BO15" i="10"/>
  <c r="M187" i="1" s="1"/>
  <c r="BO16" i="10"/>
  <c r="N187" i="1" s="1"/>
  <c r="BO17" i="10"/>
  <c r="O187" i="1" s="1"/>
  <c r="BO18" i="10"/>
  <c r="P187" i="1" s="1"/>
  <c r="BN7" i="10"/>
  <c r="E186" i="1" s="1"/>
  <c r="BN8" i="10"/>
  <c r="F186" i="1" s="1"/>
  <c r="BN9" i="10"/>
  <c r="G186" i="1" s="1"/>
  <c r="BN10" i="10"/>
  <c r="H186" i="1" s="1"/>
  <c r="BN11" i="10"/>
  <c r="I186" i="1" s="1"/>
  <c r="BN12" i="10"/>
  <c r="J186" i="1" s="1"/>
  <c r="BN13" i="10"/>
  <c r="K186" i="1" s="1"/>
  <c r="BN14" i="10"/>
  <c r="L186" i="1" s="1"/>
  <c r="BN15" i="10"/>
  <c r="M186" i="1" s="1"/>
  <c r="BN16" i="10"/>
  <c r="N186" i="1" s="1"/>
  <c r="BN17" i="10"/>
  <c r="O186" i="1" s="1"/>
  <c r="BN18" i="10"/>
  <c r="P186" i="1" s="1"/>
  <c r="BS6" i="10"/>
  <c r="D193" i="1" s="1"/>
  <c r="D192" i="1"/>
  <c r="BP6" i="10"/>
  <c r="D188" i="1" s="1"/>
  <c r="BO6" i="10"/>
  <c r="D187" i="1" s="1"/>
  <c r="BN6" i="10"/>
  <c r="D186" i="1" s="1"/>
  <c r="AG7" i="10"/>
  <c r="E181" i="1" s="1"/>
  <c r="AG8" i="10"/>
  <c r="F181" i="1" s="1"/>
  <c r="AG9" i="10"/>
  <c r="G181" i="1" s="1"/>
  <c r="AG10" i="10"/>
  <c r="H181" i="1" s="1"/>
  <c r="AG11" i="10"/>
  <c r="I181" i="1" s="1"/>
  <c r="AG12" i="10"/>
  <c r="J181" i="1" s="1"/>
  <c r="AG13" i="10"/>
  <c r="K181" i="1" s="1"/>
  <c r="AG14" i="10"/>
  <c r="L181" i="1" s="1"/>
  <c r="AG15" i="10"/>
  <c r="M181" i="1" s="1"/>
  <c r="AG16" i="10"/>
  <c r="N181" i="1" s="1"/>
  <c r="AG17" i="10"/>
  <c r="O181" i="1" s="1"/>
  <c r="AG18" i="10"/>
  <c r="P181" i="1" s="1"/>
  <c r="AF7" i="10"/>
  <c r="E180" i="1" s="1"/>
  <c r="AF8" i="10"/>
  <c r="F180" i="1" s="1"/>
  <c r="AF9" i="10"/>
  <c r="G180" i="1" s="1"/>
  <c r="AF10" i="10"/>
  <c r="H180" i="1" s="1"/>
  <c r="AF11" i="10"/>
  <c r="I180" i="1" s="1"/>
  <c r="AF12" i="10"/>
  <c r="J180" i="1" s="1"/>
  <c r="AF13" i="10"/>
  <c r="K180" i="1" s="1"/>
  <c r="AF14" i="10"/>
  <c r="L180" i="1" s="1"/>
  <c r="AF15" i="10"/>
  <c r="M180" i="1" s="1"/>
  <c r="AF16" i="10"/>
  <c r="N180" i="1" s="1"/>
  <c r="AF17" i="10"/>
  <c r="O180" i="1" s="1"/>
  <c r="AI7" i="10"/>
  <c r="E179" i="1" s="1"/>
  <c r="AI8" i="10"/>
  <c r="F179" i="1" s="1"/>
  <c r="AI9" i="10"/>
  <c r="G179" i="1" s="1"/>
  <c r="AI10" i="10"/>
  <c r="H179" i="1" s="1"/>
  <c r="AI11" i="10"/>
  <c r="I179" i="1" s="1"/>
  <c r="AI12" i="10"/>
  <c r="J179" i="1" s="1"/>
  <c r="AI13" i="10"/>
  <c r="K179" i="1" s="1"/>
  <c r="AI14" i="10"/>
  <c r="L179" i="1" s="1"/>
  <c r="AI15" i="10"/>
  <c r="M179" i="1" s="1"/>
  <c r="AI16" i="10"/>
  <c r="N179" i="1" s="1"/>
  <c r="AI17" i="10"/>
  <c r="O179" i="1" s="1"/>
  <c r="AI18" i="10"/>
  <c r="P179" i="1" s="1"/>
  <c r="AI6" i="10"/>
  <c r="D179" i="1" s="1"/>
  <c r="AE7" i="10"/>
  <c r="E178" i="1" s="1"/>
  <c r="AE8" i="10"/>
  <c r="F178" i="1" s="1"/>
  <c r="AE9" i="10"/>
  <c r="G178" i="1" s="1"/>
  <c r="AE10" i="10"/>
  <c r="H178" i="1" s="1"/>
  <c r="AE11" i="10"/>
  <c r="I178" i="1" s="1"/>
  <c r="AE12" i="10"/>
  <c r="J178" i="1" s="1"/>
  <c r="AE13" i="10"/>
  <c r="K178" i="1" s="1"/>
  <c r="AE14" i="10"/>
  <c r="L178" i="1" s="1"/>
  <c r="AE15" i="10"/>
  <c r="M178" i="1" s="1"/>
  <c r="AE16" i="10"/>
  <c r="N178" i="1" s="1"/>
  <c r="AE17" i="10"/>
  <c r="O178" i="1" s="1"/>
  <c r="AE18" i="10"/>
  <c r="P178" i="1" s="1"/>
  <c r="AE6" i="10"/>
  <c r="D178" i="1" s="1"/>
  <c r="AH7" i="10"/>
  <c r="E177" i="1" s="1"/>
  <c r="AH8" i="10"/>
  <c r="F177" i="1" s="1"/>
  <c r="AH9" i="10"/>
  <c r="G177" i="1" s="1"/>
  <c r="AH10" i="10"/>
  <c r="H177" i="1" s="1"/>
  <c r="AH11" i="10"/>
  <c r="I177" i="1" s="1"/>
  <c r="AH12" i="10"/>
  <c r="J177" i="1" s="1"/>
  <c r="AH13" i="10"/>
  <c r="K177" i="1" s="1"/>
  <c r="AH14" i="10"/>
  <c r="L177" i="1" s="1"/>
  <c r="AH15" i="10"/>
  <c r="M177" i="1" s="1"/>
  <c r="AH16" i="10"/>
  <c r="N177" i="1" s="1"/>
  <c r="AH17" i="10"/>
  <c r="O177" i="1" s="1"/>
  <c r="AH18" i="10"/>
  <c r="P177" i="1" s="1"/>
  <c r="AH6" i="10"/>
  <c r="D177" i="1" s="1"/>
  <c r="AD7" i="10"/>
  <c r="E176" i="1" s="1"/>
  <c r="AD8" i="10"/>
  <c r="F176" i="1" s="1"/>
  <c r="AD9" i="10"/>
  <c r="G176" i="1" s="1"/>
  <c r="AD10" i="10"/>
  <c r="H176" i="1" s="1"/>
  <c r="AD11" i="10"/>
  <c r="I176" i="1" s="1"/>
  <c r="AD12" i="10"/>
  <c r="J176" i="1" s="1"/>
  <c r="AD13" i="10"/>
  <c r="K176" i="1" s="1"/>
  <c r="AD14" i="10"/>
  <c r="L176" i="1" s="1"/>
  <c r="AD15" i="10"/>
  <c r="M176" i="1" s="1"/>
  <c r="AD16" i="10"/>
  <c r="N176" i="1" s="1"/>
  <c r="AD17" i="10"/>
  <c r="O176" i="1" s="1"/>
  <c r="AD18" i="10"/>
  <c r="P176" i="1" s="1"/>
  <c r="AC7" i="10"/>
  <c r="E175" i="1" s="1"/>
  <c r="AC8" i="10"/>
  <c r="F175" i="1" s="1"/>
  <c r="AC9" i="10"/>
  <c r="G175" i="1" s="1"/>
  <c r="AC10" i="10"/>
  <c r="H175" i="1" s="1"/>
  <c r="AC11" i="10"/>
  <c r="I175" i="1" s="1"/>
  <c r="AC12" i="10"/>
  <c r="J175" i="1" s="1"/>
  <c r="AC13" i="10"/>
  <c r="K175" i="1" s="1"/>
  <c r="AC14" i="10"/>
  <c r="L175" i="1" s="1"/>
  <c r="AC15" i="10"/>
  <c r="M175" i="1" s="1"/>
  <c r="AC16" i="10"/>
  <c r="N175" i="1" s="1"/>
  <c r="AC17" i="10"/>
  <c r="O175" i="1" s="1"/>
  <c r="AC18" i="10"/>
  <c r="P175" i="1" s="1"/>
  <c r="AB7" i="10"/>
  <c r="AB8" i="10"/>
  <c r="AB9" i="10"/>
  <c r="AB10" i="10"/>
  <c r="AB11" i="10"/>
  <c r="AB12" i="10"/>
  <c r="AB13" i="10"/>
  <c r="AB14" i="10"/>
  <c r="AB15" i="10"/>
  <c r="AB16" i="10"/>
  <c r="AB17" i="10"/>
  <c r="AB18" i="10"/>
  <c r="AG6" i="10"/>
  <c r="D181" i="1" s="1"/>
  <c r="AF18" i="10"/>
  <c r="P180" i="1" s="1"/>
  <c r="AF6" i="10"/>
  <c r="D180" i="1" s="1"/>
  <c r="AD6" i="10"/>
  <c r="D176" i="1" s="1"/>
  <c r="AC6" i="10"/>
  <c r="D175" i="1" s="1"/>
  <c r="AB6" i="10"/>
  <c r="BS7" i="8"/>
  <c r="E169" i="1" s="1"/>
  <c r="BS8" i="8"/>
  <c r="F169" i="1" s="1"/>
  <c r="BS9" i="8"/>
  <c r="G169" i="1" s="1"/>
  <c r="BS10" i="8"/>
  <c r="H169" i="1" s="1"/>
  <c r="BS11" i="8"/>
  <c r="I169" i="1" s="1"/>
  <c r="BS12" i="8"/>
  <c r="J169" i="1" s="1"/>
  <c r="BS13" i="8"/>
  <c r="K169" i="1" s="1"/>
  <c r="BS14" i="8"/>
  <c r="L169" i="1" s="1"/>
  <c r="BS15" i="8"/>
  <c r="M169" i="1" s="1"/>
  <c r="BS16" i="8"/>
  <c r="N169" i="1" s="1"/>
  <c r="BS17" i="8"/>
  <c r="O169" i="1" s="1"/>
  <c r="BS18" i="8"/>
  <c r="P169" i="1" s="1"/>
  <c r="BR7" i="8"/>
  <c r="E168" i="1" s="1"/>
  <c r="BR8" i="8"/>
  <c r="F168" i="1" s="1"/>
  <c r="BR9" i="8"/>
  <c r="G168" i="1" s="1"/>
  <c r="BR10" i="8"/>
  <c r="H168" i="1" s="1"/>
  <c r="BR11" i="8"/>
  <c r="I168" i="1" s="1"/>
  <c r="BR12" i="8"/>
  <c r="J168" i="1" s="1"/>
  <c r="BR13" i="8"/>
  <c r="K168" i="1" s="1"/>
  <c r="BR14" i="8"/>
  <c r="L168" i="1" s="1"/>
  <c r="BR15" i="8"/>
  <c r="M168" i="1" s="1"/>
  <c r="BR16" i="8"/>
  <c r="N168" i="1" s="1"/>
  <c r="BR17" i="8"/>
  <c r="O168" i="1" s="1"/>
  <c r="BR18" i="8"/>
  <c r="P168" i="1" s="1"/>
  <c r="BU7" i="8"/>
  <c r="E167" i="1" s="1"/>
  <c r="BU8" i="8"/>
  <c r="F167" i="1" s="1"/>
  <c r="BU9" i="8"/>
  <c r="G167" i="1" s="1"/>
  <c r="BU10" i="8"/>
  <c r="H167" i="1" s="1"/>
  <c r="BU11" i="8"/>
  <c r="I167" i="1" s="1"/>
  <c r="BU12" i="8"/>
  <c r="J167" i="1" s="1"/>
  <c r="BU13" i="8"/>
  <c r="K167" i="1" s="1"/>
  <c r="BU14" i="8"/>
  <c r="L167" i="1" s="1"/>
  <c r="BU15" i="8"/>
  <c r="M167" i="1" s="1"/>
  <c r="BU16" i="8"/>
  <c r="N167" i="1" s="1"/>
  <c r="BU17" i="8"/>
  <c r="O167" i="1" s="1"/>
  <c r="BU18" i="8"/>
  <c r="P167" i="1" s="1"/>
  <c r="BU6" i="8"/>
  <c r="D167" i="1" s="1"/>
  <c r="BQ7" i="8"/>
  <c r="E166" i="1" s="1"/>
  <c r="BQ8" i="8"/>
  <c r="F166" i="1" s="1"/>
  <c r="BQ9" i="8"/>
  <c r="G166" i="1" s="1"/>
  <c r="BQ10" i="8"/>
  <c r="H166" i="1" s="1"/>
  <c r="BQ11" i="8"/>
  <c r="I166" i="1" s="1"/>
  <c r="BQ12" i="8"/>
  <c r="J166" i="1" s="1"/>
  <c r="BQ13" i="8"/>
  <c r="K166" i="1" s="1"/>
  <c r="BQ14" i="8"/>
  <c r="L166" i="1" s="1"/>
  <c r="BQ15" i="8"/>
  <c r="M166" i="1" s="1"/>
  <c r="BQ16" i="8"/>
  <c r="N166" i="1" s="1"/>
  <c r="BQ17" i="8"/>
  <c r="O166" i="1" s="1"/>
  <c r="BQ18" i="8"/>
  <c r="P166" i="1" s="1"/>
  <c r="BQ6" i="8"/>
  <c r="D166" i="1" s="1"/>
  <c r="BT7" i="8"/>
  <c r="E165" i="1" s="1"/>
  <c r="BT8" i="8"/>
  <c r="F165" i="1" s="1"/>
  <c r="BT9" i="8"/>
  <c r="G165" i="1" s="1"/>
  <c r="BT10" i="8"/>
  <c r="H165" i="1" s="1"/>
  <c r="BT11" i="8"/>
  <c r="I165" i="1" s="1"/>
  <c r="BT12" i="8"/>
  <c r="J165" i="1" s="1"/>
  <c r="BT13" i="8"/>
  <c r="K165" i="1" s="1"/>
  <c r="BT14" i="8"/>
  <c r="L165" i="1" s="1"/>
  <c r="BT15" i="8"/>
  <c r="M165" i="1" s="1"/>
  <c r="BT16" i="8"/>
  <c r="N165" i="1" s="1"/>
  <c r="BT17" i="8"/>
  <c r="O165" i="1" s="1"/>
  <c r="BT18" i="8"/>
  <c r="P165" i="1" s="1"/>
  <c r="BT6" i="8"/>
  <c r="D165" i="1" s="1"/>
  <c r="BP14" i="8"/>
  <c r="L164" i="1" s="1"/>
  <c r="BP7" i="8"/>
  <c r="E164" i="1" s="1"/>
  <c r="BP8" i="8"/>
  <c r="F164" i="1" s="1"/>
  <c r="BP9" i="8"/>
  <c r="G164" i="1" s="1"/>
  <c r="BP10" i="8"/>
  <c r="H164" i="1" s="1"/>
  <c r="BP11" i="8"/>
  <c r="I164" i="1" s="1"/>
  <c r="BP12" i="8"/>
  <c r="J164" i="1" s="1"/>
  <c r="BP13" i="8"/>
  <c r="K164" i="1" s="1"/>
  <c r="BP15" i="8"/>
  <c r="M164" i="1" s="1"/>
  <c r="BP16" i="8"/>
  <c r="N164" i="1" s="1"/>
  <c r="BP17" i="8"/>
  <c r="O164" i="1" s="1"/>
  <c r="BP18" i="8"/>
  <c r="P164" i="1" s="1"/>
  <c r="BO7" i="8"/>
  <c r="E163" i="1" s="1"/>
  <c r="BO8" i="8"/>
  <c r="F163" i="1" s="1"/>
  <c r="BO9" i="8"/>
  <c r="G163" i="1" s="1"/>
  <c r="BO10" i="8"/>
  <c r="H163" i="1" s="1"/>
  <c r="BO11" i="8"/>
  <c r="I163" i="1" s="1"/>
  <c r="BO12" i="8"/>
  <c r="J163" i="1" s="1"/>
  <c r="BO13" i="8"/>
  <c r="K163" i="1" s="1"/>
  <c r="BO14" i="8"/>
  <c r="L163" i="1" s="1"/>
  <c r="BO15" i="8"/>
  <c r="M163" i="1" s="1"/>
  <c r="BO16" i="8"/>
  <c r="N163" i="1" s="1"/>
  <c r="BO17" i="8"/>
  <c r="O163" i="1" s="1"/>
  <c r="BO18" i="8"/>
  <c r="P163" i="1" s="1"/>
  <c r="BN7" i="8"/>
  <c r="E162" i="1" s="1"/>
  <c r="BN9" i="8"/>
  <c r="G162" i="1" s="1"/>
  <c r="BN10" i="8"/>
  <c r="H162" i="1" s="1"/>
  <c r="BN11" i="8"/>
  <c r="I162" i="1" s="1"/>
  <c r="BN12" i="8"/>
  <c r="J162" i="1" s="1"/>
  <c r="BN13" i="8"/>
  <c r="K162" i="1" s="1"/>
  <c r="BN14" i="8"/>
  <c r="L162" i="1" s="1"/>
  <c r="BN15" i="8"/>
  <c r="M162" i="1" s="1"/>
  <c r="BN16" i="8"/>
  <c r="N162" i="1" s="1"/>
  <c r="BN17" i="8"/>
  <c r="O162" i="1" s="1"/>
  <c r="BN18" i="8"/>
  <c r="P162" i="1" s="1"/>
  <c r="BS6" i="8"/>
  <c r="D169" i="1" s="1"/>
  <c r="BR6" i="8"/>
  <c r="D168" i="1" s="1"/>
  <c r="BP6" i="8"/>
  <c r="D164" i="1" s="1"/>
  <c r="BO6" i="8"/>
  <c r="D163" i="1" s="1"/>
  <c r="BN6" i="8"/>
  <c r="D162" i="1" s="1"/>
  <c r="AH5" i="8"/>
  <c r="E157" i="1" s="1"/>
  <c r="AH6" i="8"/>
  <c r="F157" i="1" s="1"/>
  <c r="AH7" i="8"/>
  <c r="G157" i="1" s="1"/>
  <c r="AH8" i="8"/>
  <c r="H157" i="1" s="1"/>
  <c r="AH9" i="8"/>
  <c r="I157" i="1" s="1"/>
  <c r="AH10" i="8"/>
  <c r="J157" i="1" s="1"/>
  <c r="AH11" i="8"/>
  <c r="K157" i="1" s="1"/>
  <c r="AH12" i="8"/>
  <c r="L157" i="1" s="1"/>
  <c r="AH13" i="8"/>
  <c r="M157" i="1" s="1"/>
  <c r="AH14" i="8"/>
  <c r="N157" i="1" s="1"/>
  <c r="AH15" i="8"/>
  <c r="O157" i="1" s="1"/>
  <c r="AH16" i="8"/>
  <c r="P157" i="1" s="1"/>
  <c r="AG5" i="8"/>
  <c r="E156" i="1" s="1"/>
  <c r="AG6" i="8"/>
  <c r="F156" i="1" s="1"/>
  <c r="AG7" i="8"/>
  <c r="G156" i="1" s="1"/>
  <c r="AG8" i="8"/>
  <c r="H156" i="1" s="1"/>
  <c r="AG9" i="8"/>
  <c r="I156" i="1" s="1"/>
  <c r="AG10" i="8"/>
  <c r="J156" i="1" s="1"/>
  <c r="AG11" i="8"/>
  <c r="K156" i="1" s="1"/>
  <c r="AG12" i="8"/>
  <c r="L156" i="1" s="1"/>
  <c r="AG13" i="8"/>
  <c r="M156" i="1" s="1"/>
  <c r="AG14" i="8"/>
  <c r="N156" i="1" s="1"/>
  <c r="AG15" i="8"/>
  <c r="O156" i="1" s="1"/>
  <c r="AG16" i="8"/>
  <c r="P156" i="1" s="1"/>
  <c r="AI5" i="8"/>
  <c r="E153" i="1" s="1"/>
  <c r="AI6" i="8"/>
  <c r="F153" i="1" s="1"/>
  <c r="AI7" i="8"/>
  <c r="G153" i="1" s="1"/>
  <c r="AI8" i="8"/>
  <c r="H153" i="1" s="1"/>
  <c r="AI9" i="8"/>
  <c r="I153" i="1" s="1"/>
  <c r="AI10" i="8"/>
  <c r="J153" i="1" s="1"/>
  <c r="AI11" i="8"/>
  <c r="K153" i="1" s="1"/>
  <c r="AI12" i="8"/>
  <c r="L153" i="1" s="1"/>
  <c r="AI13" i="8"/>
  <c r="M153" i="1" s="1"/>
  <c r="AI14" i="8"/>
  <c r="N153" i="1" s="1"/>
  <c r="AI15" i="8"/>
  <c r="O153" i="1" s="1"/>
  <c r="AI16" i="8"/>
  <c r="P153" i="1" s="1"/>
  <c r="AF5" i="8"/>
  <c r="E154" i="1" s="1"/>
  <c r="AF6" i="8"/>
  <c r="F154" i="1" s="1"/>
  <c r="AF7" i="8"/>
  <c r="G154" i="1" s="1"/>
  <c r="AF8" i="8"/>
  <c r="H154" i="1" s="1"/>
  <c r="AF9" i="8"/>
  <c r="I154" i="1" s="1"/>
  <c r="AF10" i="8"/>
  <c r="J154" i="1" s="1"/>
  <c r="AF11" i="8"/>
  <c r="K154" i="1" s="1"/>
  <c r="AF12" i="8"/>
  <c r="L154" i="1" s="1"/>
  <c r="AF13" i="8"/>
  <c r="M154" i="1" s="1"/>
  <c r="AF14" i="8"/>
  <c r="N154" i="1" s="1"/>
  <c r="AF15" i="8"/>
  <c r="O154" i="1" s="1"/>
  <c r="AF16" i="8"/>
  <c r="P154" i="1" s="1"/>
  <c r="AJ5" i="8"/>
  <c r="E155" i="1" s="1"/>
  <c r="AJ6" i="8"/>
  <c r="F155" i="1" s="1"/>
  <c r="AJ7" i="8"/>
  <c r="G155" i="1" s="1"/>
  <c r="AJ8" i="8"/>
  <c r="H155" i="1" s="1"/>
  <c r="AJ9" i="8"/>
  <c r="I155" i="1" s="1"/>
  <c r="AJ10" i="8"/>
  <c r="J155" i="1" s="1"/>
  <c r="AJ11" i="8"/>
  <c r="K155" i="1" s="1"/>
  <c r="AJ12" i="8"/>
  <c r="L155" i="1" s="1"/>
  <c r="AJ13" i="8"/>
  <c r="M155" i="1" s="1"/>
  <c r="AJ14" i="8"/>
  <c r="N155" i="1" s="1"/>
  <c r="AJ15" i="8"/>
  <c r="O155" i="1" s="1"/>
  <c r="AJ16" i="8"/>
  <c r="P155" i="1" s="1"/>
  <c r="AJ4" i="8"/>
  <c r="D155" i="1" s="1"/>
  <c r="AF4" i="8"/>
  <c r="D154" i="1" s="1"/>
  <c r="AI4" i="8"/>
  <c r="D153" i="1" s="1"/>
  <c r="AE5" i="8"/>
  <c r="E152" i="1" s="1"/>
  <c r="AE6" i="8"/>
  <c r="F152" i="1" s="1"/>
  <c r="AE7" i="8"/>
  <c r="G152" i="1" s="1"/>
  <c r="AE8" i="8"/>
  <c r="H152" i="1" s="1"/>
  <c r="AE9" i="8"/>
  <c r="I152" i="1" s="1"/>
  <c r="AE10" i="8"/>
  <c r="J152" i="1" s="1"/>
  <c r="AE11" i="8"/>
  <c r="K152" i="1" s="1"/>
  <c r="AE12" i="8"/>
  <c r="L152" i="1" s="1"/>
  <c r="AE13" i="8"/>
  <c r="M152" i="1" s="1"/>
  <c r="AE14" i="8"/>
  <c r="N152" i="1" s="1"/>
  <c r="AE15" i="8"/>
  <c r="O152" i="1" s="1"/>
  <c r="AE16" i="8"/>
  <c r="P152" i="1" s="1"/>
  <c r="AD5" i="8"/>
  <c r="E151" i="1" s="1"/>
  <c r="AD6" i="8"/>
  <c r="F151" i="1" s="1"/>
  <c r="AD7" i="8"/>
  <c r="G151" i="1" s="1"/>
  <c r="AD8" i="8"/>
  <c r="H151" i="1" s="1"/>
  <c r="AD9" i="8"/>
  <c r="I151" i="1" s="1"/>
  <c r="AD10" i="8"/>
  <c r="J151" i="1" s="1"/>
  <c r="AD11" i="8"/>
  <c r="K151" i="1" s="1"/>
  <c r="AD12" i="8"/>
  <c r="L151" i="1" s="1"/>
  <c r="AD13" i="8"/>
  <c r="M151" i="1" s="1"/>
  <c r="AD14" i="8"/>
  <c r="N151" i="1" s="1"/>
  <c r="AD15" i="8"/>
  <c r="O151" i="1" s="1"/>
  <c r="AD16" i="8"/>
  <c r="P151" i="1" s="1"/>
  <c r="AC5" i="8"/>
  <c r="AC6" i="8"/>
  <c r="AC7" i="8"/>
  <c r="AC8" i="8"/>
  <c r="AC9" i="8"/>
  <c r="AC10" i="8"/>
  <c r="AC11" i="8"/>
  <c r="AC12" i="8"/>
  <c r="AC13" i="8"/>
  <c r="AC14" i="8"/>
  <c r="AC15" i="8"/>
  <c r="AC16" i="8"/>
  <c r="AC4" i="8"/>
  <c r="AH4" i="8"/>
  <c r="D157" i="1" s="1"/>
  <c r="AG4" i="8"/>
  <c r="D156" i="1" s="1"/>
  <c r="AE4" i="8"/>
  <c r="D152" i="1" s="1"/>
  <c r="AD4" i="8"/>
  <c r="D151" i="1" s="1"/>
  <c r="F6" i="8"/>
  <c r="AE143" i="6"/>
  <c r="F127" i="1" s="1"/>
  <c r="D127" i="1"/>
  <c r="D143" i="1"/>
  <c r="BW17" i="6"/>
  <c r="O139" i="1" s="1"/>
  <c r="BW6" i="6"/>
  <c r="D139" i="1" s="1"/>
  <c r="BS10" i="6"/>
  <c r="H138" i="1" s="1"/>
  <c r="BW7" i="6"/>
  <c r="E139" i="1" s="1"/>
  <c r="BU17" i="6"/>
  <c r="O141" i="1" s="1"/>
  <c r="BV13" i="6"/>
  <c r="K137" i="1" s="1"/>
  <c r="BT6" i="6"/>
  <c r="D140" i="1" s="1"/>
  <c r="BS6" i="6"/>
  <c r="D138" i="1" s="1"/>
  <c r="BR6" i="6"/>
  <c r="D136" i="1" s="1"/>
  <c r="BQ8" i="6"/>
  <c r="F135" i="1" s="1"/>
  <c r="BQ6" i="6"/>
  <c r="D135" i="1" s="1"/>
  <c r="BP6" i="6"/>
  <c r="BV16" i="6"/>
  <c r="N137" i="1" s="1"/>
  <c r="BW8" i="6"/>
  <c r="F139" i="1" s="1"/>
  <c r="BW9" i="6"/>
  <c r="G139" i="1" s="1"/>
  <c r="BW10" i="6"/>
  <c r="H139" i="1" s="1"/>
  <c r="BW11" i="6"/>
  <c r="I139" i="1" s="1"/>
  <c r="BW12" i="6"/>
  <c r="J139" i="1" s="1"/>
  <c r="BW13" i="6"/>
  <c r="K139" i="1" s="1"/>
  <c r="BW14" i="6"/>
  <c r="L139" i="1" s="1"/>
  <c r="BW15" i="6"/>
  <c r="M139" i="1" s="1"/>
  <c r="BW16" i="6"/>
  <c r="N139" i="1" s="1"/>
  <c r="BW18" i="6"/>
  <c r="P139" i="1" s="1"/>
  <c r="BV7" i="6"/>
  <c r="E137" i="1" s="1"/>
  <c r="BV8" i="6"/>
  <c r="F137" i="1" s="1"/>
  <c r="BV9" i="6"/>
  <c r="G137" i="1" s="1"/>
  <c r="BV10" i="6"/>
  <c r="H137" i="1" s="1"/>
  <c r="BV11" i="6"/>
  <c r="I137" i="1" s="1"/>
  <c r="BV12" i="6"/>
  <c r="J137" i="1" s="1"/>
  <c r="BV14" i="6"/>
  <c r="L137" i="1" s="1"/>
  <c r="BV15" i="6"/>
  <c r="M137" i="1" s="1"/>
  <c r="BV17" i="6"/>
  <c r="O137" i="1" s="1"/>
  <c r="BV18" i="6"/>
  <c r="P137" i="1" s="1"/>
  <c r="BV6" i="6"/>
  <c r="D137" i="1" s="1"/>
  <c r="BU14" i="6"/>
  <c r="L141" i="1" s="1"/>
  <c r="BU7" i="6"/>
  <c r="E141" i="1" s="1"/>
  <c r="BU8" i="6"/>
  <c r="F141" i="1" s="1"/>
  <c r="BU9" i="6"/>
  <c r="G141" i="1" s="1"/>
  <c r="BU10" i="6"/>
  <c r="H141" i="1" s="1"/>
  <c r="BU11" i="6"/>
  <c r="I141" i="1" s="1"/>
  <c r="BU12" i="6"/>
  <c r="J141" i="1" s="1"/>
  <c r="BU13" i="6"/>
  <c r="K141" i="1" s="1"/>
  <c r="BU15" i="6"/>
  <c r="M141" i="1" s="1"/>
  <c r="BU16" i="6"/>
  <c r="N141" i="1" s="1"/>
  <c r="BU18" i="6"/>
  <c r="P141" i="1" s="1"/>
  <c r="BU6" i="6"/>
  <c r="D141" i="1" s="1"/>
  <c r="BT7" i="6"/>
  <c r="E140" i="1" s="1"/>
  <c r="BT8" i="6"/>
  <c r="F140" i="1" s="1"/>
  <c r="BT9" i="6"/>
  <c r="G140" i="1" s="1"/>
  <c r="BT10" i="6"/>
  <c r="H140" i="1" s="1"/>
  <c r="BT11" i="6"/>
  <c r="I140" i="1" s="1"/>
  <c r="BT12" i="6"/>
  <c r="J140" i="1" s="1"/>
  <c r="BT13" i="6"/>
  <c r="K140" i="1" s="1"/>
  <c r="BT14" i="6"/>
  <c r="L140" i="1" s="1"/>
  <c r="BT15" i="6"/>
  <c r="M140" i="1" s="1"/>
  <c r="BT16" i="6"/>
  <c r="N140" i="1" s="1"/>
  <c r="BT17" i="6"/>
  <c r="O140" i="1" s="1"/>
  <c r="BT18" i="6"/>
  <c r="P140" i="1" s="1"/>
  <c r="BS7" i="6"/>
  <c r="E138" i="1" s="1"/>
  <c r="BS8" i="6"/>
  <c r="F138" i="1" s="1"/>
  <c r="BS9" i="6"/>
  <c r="G138" i="1" s="1"/>
  <c r="BS11" i="6"/>
  <c r="I138" i="1" s="1"/>
  <c r="BS12" i="6"/>
  <c r="J138" i="1" s="1"/>
  <c r="BS13" i="6"/>
  <c r="K138" i="1" s="1"/>
  <c r="BS14" i="6"/>
  <c r="L138" i="1" s="1"/>
  <c r="BS15" i="6"/>
  <c r="M138" i="1" s="1"/>
  <c r="BS16" i="6"/>
  <c r="N138" i="1" s="1"/>
  <c r="BS17" i="6"/>
  <c r="O138" i="1" s="1"/>
  <c r="BS18" i="6"/>
  <c r="P138" i="1" s="1"/>
  <c r="BR13" i="6"/>
  <c r="K136" i="1" s="1"/>
  <c r="BR7" i="6"/>
  <c r="E136" i="1" s="1"/>
  <c r="BR8" i="6"/>
  <c r="F136" i="1" s="1"/>
  <c r="BR9" i="6"/>
  <c r="G136" i="1" s="1"/>
  <c r="BR10" i="6"/>
  <c r="H136" i="1" s="1"/>
  <c r="BR11" i="6"/>
  <c r="I136" i="1" s="1"/>
  <c r="BR12" i="6"/>
  <c r="J136" i="1" s="1"/>
  <c r="BR14" i="6"/>
  <c r="L136" i="1" s="1"/>
  <c r="BR15" i="6"/>
  <c r="M136" i="1" s="1"/>
  <c r="BR16" i="6"/>
  <c r="N136" i="1" s="1"/>
  <c r="BR17" i="6"/>
  <c r="O136" i="1" s="1"/>
  <c r="BR18" i="6"/>
  <c r="P136" i="1" s="1"/>
  <c r="BQ12" i="6"/>
  <c r="J135" i="1" s="1"/>
  <c r="BQ7" i="6"/>
  <c r="E135" i="1" s="1"/>
  <c r="BQ9" i="6"/>
  <c r="G135" i="1" s="1"/>
  <c r="BQ10" i="6"/>
  <c r="H135" i="1" s="1"/>
  <c r="BQ11" i="6"/>
  <c r="I135" i="1" s="1"/>
  <c r="BQ13" i="6"/>
  <c r="K135" i="1" s="1"/>
  <c r="BQ14" i="6"/>
  <c r="L135" i="1" s="1"/>
  <c r="BQ15" i="6"/>
  <c r="M135" i="1" s="1"/>
  <c r="BQ16" i="6"/>
  <c r="N135" i="1" s="1"/>
  <c r="BQ17" i="6"/>
  <c r="O135" i="1" s="1"/>
  <c r="BQ18" i="6"/>
  <c r="P135" i="1" s="1"/>
  <c r="BP15" i="6"/>
  <c r="BP7" i="6"/>
  <c r="BP8" i="6"/>
  <c r="BP9" i="6"/>
  <c r="BP10" i="6"/>
  <c r="BP11" i="6"/>
  <c r="BP12" i="6"/>
  <c r="BP13" i="6"/>
  <c r="BP14" i="6"/>
  <c r="BP16" i="6"/>
  <c r="BP17" i="6"/>
  <c r="BP18" i="6"/>
  <c r="X14" i="6"/>
  <c r="N125" i="1" s="1"/>
  <c r="Z5" i="6"/>
  <c r="E123" i="1" s="1"/>
  <c r="Z6" i="6"/>
  <c r="F123" i="1" s="1"/>
  <c r="Z7" i="6"/>
  <c r="G123" i="1" s="1"/>
  <c r="Z8" i="6"/>
  <c r="H123" i="1" s="1"/>
  <c r="Z9" i="6"/>
  <c r="I123" i="1" s="1"/>
  <c r="Z10" i="6"/>
  <c r="J123" i="1" s="1"/>
  <c r="Z11" i="6"/>
  <c r="K123" i="1" s="1"/>
  <c r="Z12" i="6"/>
  <c r="L123" i="1" s="1"/>
  <c r="Z13" i="6"/>
  <c r="M123" i="1" s="1"/>
  <c r="Z14" i="6"/>
  <c r="N123" i="1" s="1"/>
  <c r="Z15" i="6"/>
  <c r="O123" i="1" s="1"/>
  <c r="Z16" i="6"/>
  <c r="P123" i="1" s="1"/>
  <c r="Z4" i="6"/>
  <c r="D123" i="1" s="1"/>
  <c r="Y12" i="6"/>
  <c r="L121" i="1" s="1"/>
  <c r="Y5" i="6"/>
  <c r="E121" i="1" s="1"/>
  <c r="Y6" i="6"/>
  <c r="F121" i="1" s="1"/>
  <c r="Y7" i="6"/>
  <c r="G121" i="1" s="1"/>
  <c r="Y8" i="6"/>
  <c r="H121" i="1" s="1"/>
  <c r="Y9" i="6"/>
  <c r="I121" i="1" s="1"/>
  <c r="Y10" i="6"/>
  <c r="J121" i="1" s="1"/>
  <c r="Y11" i="6"/>
  <c r="K121" i="1" s="1"/>
  <c r="Y13" i="6"/>
  <c r="M121" i="1" s="1"/>
  <c r="Y14" i="6"/>
  <c r="N121" i="1" s="1"/>
  <c r="Y15" i="6"/>
  <c r="O121" i="1" s="1"/>
  <c r="Y16" i="6"/>
  <c r="P121" i="1" s="1"/>
  <c r="Y4" i="6"/>
  <c r="D121" i="1" s="1"/>
  <c r="X5" i="6"/>
  <c r="E125" i="1" s="1"/>
  <c r="X6" i="6"/>
  <c r="F125" i="1" s="1"/>
  <c r="X7" i="6"/>
  <c r="G125" i="1" s="1"/>
  <c r="X8" i="6"/>
  <c r="H125" i="1" s="1"/>
  <c r="X9" i="6"/>
  <c r="I125" i="1" s="1"/>
  <c r="X10" i="6"/>
  <c r="J125" i="1" s="1"/>
  <c r="X11" i="6"/>
  <c r="K125" i="1" s="1"/>
  <c r="X12" i="6"/>
  <c r="L125" i="1" s="1"/>
  <c r="X13" i="6"/>
  <c r="M125" i="1" s="1"/>
  <c r="X15" i="6"/>
  <c r="O125" i="1" s="1"/>
  <c r="X16" i="6"/>
  <c r="P125" i="1" s="1"/>
  <c r="X4" i="6"/>
  <c r="D125" i="1" s="1"/>
  <c r="W5" i="6"/>
  <c r="E124" i="1" s="1"/>
  <c r="W6" i="6"/>
  <c r="F124" i="1" s="1"/>
  <c r="W7" i="6"/>
  <c r="G124" i="1" s="1"/>
  <c r="W8" i="6"/>
  <c r="H124" i="1" s="1"/>
  <c r="W9" i="6"/>
  <c r="I124" i="1" s="1"/>
  <c r="W10" i="6"/>
  <c r="J124" i="1" s="1"/>
  <c r="W11" i="6"/>
  <c r="K124" i="1" s="1"/>
  <c r="W12" i="6"/>
  <c r="L124" i="1" s="1"/>
  <c r="W13" i="6"/>
  <c r="M124" i="1" s="1"/>
  <c r="W14" i="6"/>
  <c r="N124" i="1" s="1"/>
  <c r="W15" i="6"/>
  <c r="O124" i="1" s="1"/>
  <c r="W16" i="6"/>
  <c r="P124" i="1" s="1"/>
  <c r="W4" i="6"/>
  <c r="D124" i="1" s="1"/>
  <c r="V5" i="6"/>
  <c r="E122" i="1" s="1"/>
  <c r="V6" i="6"/>
  <c r="F122" i="1" s="1"/>
  <c r="V7" i="6"/>
  <c r="G122" i="1" s="1"/>
  <c r="V8" i="6"/>
  <c r="H122" i="1" s="1"/>
  <c r="V9" i="6"/>
  <c r="I122" i="1" s="1"/>
  <c r="V10" i="6"/>
  <c r="J122" i="1" s="1"/>
  <c r="V11" i="6"/>
  <c r="K122" i="1" s="1"/>
  <c r="V12" i="6"/>
  <c r="L122" i="1" s="1"/>
  <c r="V13" i="6"/>
  <c r="M122" i="1" s="1"/>
  <c r="V14" i="6"/>
  <c r="N122" i="1" s="1"/>
  <c r="V15" i="6"/>
  <c r="O122" i="1" s="1"/>
  <c r="V16" i="6"/>
  <c r="P122" i="1" s="1"/>
  <c r="V4" i="6"/>
  <c r="D122" i="1" s="1"/>
  <c r="U12" i="6"/>
  <c r="L120" i="1" s="1"/>
  <c r="U5" i="6"/>
  <c r="E120" i="1" s="1"/>
  <c r="U6" i="6"/>
  <c r="F120" i="1" s="1"/>
  <c r="U7" i="6"/>
  <c r="G120" i="1" s="1"/>
  <c r="U8" i="6"/>
  <c r="H120" i="1" s="1"/>
  <c r="U9" i="6"/>
  <c r="I120" i="1" s="1"/>
  <c r="U10" i="6"/>
  <c r="J120" i="1" s="1"/>
  <c r="U11" i="6"/>
  <c r="K120" i="1" s="1"/>
  <c r="U13" i="6"/>
  <c r="M120" i="1" s="1"/>
  <c r="U14" i="6"/>
  <c r="N120" i="1" s="1"/>
  <c r="U15" i="6"/>
  <c r="O120" i="1" s="1"/>
  <c r="U16" i="6"/>
  <c r="P120" i="1" s="1"/>
  <c r="U4" i="6"/>
  <c r="D120" i="1" s="1"/>
  <c r="T5" i="6"/>
  <c r="E119" i="1" s="1"/>
  <c r="T6" i="6"/>
  <c r="F119" i="1" s="1"/>
  <c r="T7" i="6"/>
  <c r="G119" i="1" s="1"/>
  <c r="T8" i="6"/>
  <c r="H119" i="1" s="1"/>
  <c r="T9" i="6"/>
  <c r="I119" i="1" s="1"/>
  <c r="T10" i="6"/>
  <c r="J119" i="1" s="1"/>
  <c r="T11" i="6"/>
  <c r="K119" i="1" s="1"/>
  <c r="T12" i="6"/>
  <c r="L119" i="1" s="1"/>
  <c r="T13" i="6"/>
  <c r="M119" i="1" s="1"/>
  <c r="T14" i="6"/>
  <c r="N119" i="1" s="1"/>
  <c r="T15" i="6"/>
  <c r="O119" i="1" s="1"/>
  <c r="T16" i="6"/>
  <c r="P119" i="1" s="1"/>
  <c r="T4" i="6"/>
  <c r="D119" i="1" s="1"/>
  <c r="S15" i="6"/>
  <c r="O118" i="1" s="1"/>
  <c r="S5" i="6"/>
  <c r="S6" i="6"/>
  <c r="S7" i="6"/>
  <c r="S8" i="6"/>
  <c r="S9" i="6"/>
  <c r="S10" i="6"/>
  <c r="S11" i="6"/>
  <c r="S12" i="6"/>
  <c r="S13" i="6"/>
  <c r="S14" i="6"/>
  <c r="S16" i="6"/>
  <c r="S4" i="6"/>
  <c r="BJ6" i="5"/>
  <c r="E100" i="1" s="1"/>
  <c r="BJ7" i="5"/>
  <c r="F100" i="1" s="1"/>
  <c r="BJ8" i="5"/>
  <c r="G100" i="1" s="1"/>
  <c r="BJ9" i="5"/>
  <c r="H100" i="1" s="1"/>
  <c r="BJ10" i="5"/>
  <c r="I100" i="1" s="1"/>
  <c r="BJ11" i="5"/>
  <c r="J100" i="1" s="1"/>
  <c r="BJ12" i="5"/>
  <c r="K100" i="1" s="1"/>
  <c r="BJ13" i="5"/>
  <c r="L100" i="1" s="1"/>
  <c r="BJ14" i="5"/>
  <c r="M100" i="1" s="1"/>
  <c r="BJ15" i="5"/>
  <c r="N100" i="1" s="1"/>
  <c r="BJ16" i="5"/>
  <c r="O100" i="1" s="1"/>
  <c r="BJ17" i="5"/>
  <c r="P100" i="1" s="1"/>
  <c r="BJ5" i="5"/>
  <c r="D100" i="1" s="1"/>
  <c r="BI5" i="5"/>
  <c r="D98" i="1" s="1"/>
  <c r="BI6" i="5"/>
  <c r="E98" i="1" s="1"/>
  <c r="BI7" i="5"/>
  <c r="F98" i="1" s="1"/>
  <c r="BI8" i="5"/>
  <c r="G98" i="1" s="1"/>
  <c r="BI9" i="5"/>
  <c r="H98" i="1" s="1"/>
  <c r="BI10" i="5"/>
  <c r="I98" i="1" s="1"/>
  <c r="BI11" i="5"/>
  <c r="J98" i="1" s="1"/>
  <c r="BI12" i="5"/>
  <c r="K98" i="1" s="1"/>
  <c r="BI13" i="5"/>
  <c r="L98" i="1" s="1"/>
  <c r="BI14" i="5"/>
  <c r="M98" i="1" s="1"/>
  <c r="BI15" i="5"/>
  <c r="N98" i="1" s="1"/>
  <c r="BI16" i="5"/>
  <c r="O98" i="1" s="1"/>
  <c r="BI17" i="5"/>
  <c r="P98" i="1" s="1"/>
  <c r="BH6" i="5"/>
  <c r="E102" i="1" s="1"/>
  <c r="BH7" i="5"/>
  <c r="F102" i="1" s="1"/>
  <c r="BH8" i="5"/>
  <c r="G102" i="1" s="1"/>
  <c r="BH9" i="5"/>
  <c r="H102" i="1" s="1"/>
  <c r="BH10" i="5"/>
  <c r="I102" i="1" s="1"/>
  <c r="BH11" i="5"/>
  <c r="J102" i="1" s="1"/>
  <c r="BH12" i="5"/>
  <c r="K102" i="1" s="1"/>
  <c r="BH13" i="5"/>
  <c r="L102" i="1" s="1"/>
  <c r="BH14" i="5"/>
  <c r="M102" i="1" s="1"/>
  <c r="BH15" i="5"/>
  <c r="N102" i="1" s="1"/>
  <c r="BH16" i="5"/>
  <c r="O102" i="1" s="1"/>
  <c r="BH17" i="5"/>
  <c r="P102" i="1" s="1"/>
  <c r="BH5" i="5"/>
  <c r="D102" i="1" s="1"/>
  <c r="BG6" i="5"/>
  <c r="E101" i="1" s="1"/>
  <c r="BG7" i="5"/>
  <c r="F101" i="1" s="1"/>
  <c r="BG8" i="5"/>
  <c r="G101" i="1" s="1"/>
  <c r="BG9" i="5"/>
  <c r="H101" i="1" s="1"/>
  <c r="BG10" i="5"/>
  <c r="I101" i="1" s="1"/>
  <c r="BG11" i="5"/>
  <c r="J101" i="1" s="1"/>
  <c r="BG12" i="5"/>
  <c r="K101" i="1" s="1"/>
  <c r="BG13" i="5"/>
  <c r="L101" i="1" s="1"/>
  <c r="BG14" i="5"/>
  <c r="M101" i="1" s="1"/>
  <c r="BG15" i="5"/>
  <c r="N101" i="1" s="1"/>
  <c r="BG16" i="5"/>
  <c r="O101" i="1" s="1"/>
  <c r="BG17" i="5"/>
  <c r="P101" i="1" s="1"/>
  <c r="BG5" i="5"/>
  <c r="D101" i="1" s="1"/>
  <c r="BF6" i="5"/>
  <c r="E99" i="1" s="1"/>
  <c r="BF7" i="5"/>
  <c r="F99" i="1" s="1"/>
  <c r="BF8" i="5"/>
  <c r="G99" i="1" s="1"/>
  <c r="BF9" i="5"/>
  <c r="H99" i="1" s="1"/>
  <c r="BF10" i="5"/>
  <c r="I99" i="1" s="1"/>
  <c r="BF11" i="5"/>
  <c r="J99" i="1" s="1"/>
  <c r="BF12" i="5"/>
  <c r="K99" i="1" s="1"/>
  <c r="BF13" i="5"/>
  <c r="L99" i="1" s="1"/>
  <c r="BF14" i="5"/>
  <c r="M99" i="1" s="1"/>
  <c r="BF15" i="5"/>
  <c r="N99" i="1" s="1"/>
  <c r="BF16" i="5"/>
  <c r="O99" i="1" s="1"/>
  <c r="BF17" i="5"/>
  <c r="P99" i="1" s="1"/>
  <c r="BF5" i="5"/>
  <c r="D99" i="1" s="1"/>
  <c r="BE6" i="5"/>
  <c r="E97" i="1" s="1"/>
  <c r="BE7" i="5"/>
  <c r="F97" i="1" s="1"/>
  <c r="BE8" i="5"/>
  <c r="G97" i="1" s="1"/>
  <c r="BE9" i="5"/>
  <c r="H97" i="1" s="1"/>
  <c r="BE10" i="5"/>
  <c r="I97" i="1" s="1"/>
  <c r="BE11" i="5"/>
  <c r="J97" i="1" s="1"/>
  <c r="BE12" i="5"/>
  <c r="K97" i="1" s="1"/>
  <c r="BE13" i="5"/>
  <c r="L97" i="1" s="1"/>
  <c r="BE14" i="5"/>
  <c r="M97" i="1" s="1"/>
  <c r="BE15" i="5"/>
  <c r="N97" i="1" s="1"/>
  <c r="BE16" i="5"/>
  <c r="O97" i="1" s="1"/>
  <c r="BE17" i="5"/>
  <c r="P97" i="1" s="1"/>
  <c r="BE5" i="5"/>
  <c r="D97" i="1" s="1"/>
  <c r="BC6" i="5"/>
  <c r="BC7" i="5"/>
  <c r="BC8" i="5"/>
  <c r="BC9" i="5"/>
  <c r="BC10" i="5"/>
  <c r="BC11" i="5"/>
  <c r="BC12" i="5"/>
  <c r="BC13" i="5"/>
  <c r="BC14" i="5"/>
  <c r="BC15" i="5"/>
  <c r="BC16" i="5"/>
  <c r="BC17" i="5"/>
  <c r="BD6" i="5"/>
  <c r="E96" i="1" s="1"/>
  <c r="BD7" i="5"/>
  <c r="F96" i="1" s="1"/>
  <c r="BD8" i="5"/>
  <c r="G96" i="1" s="1"/>
  <c r="BD9" i="5"/>
  <c r="H96" i="1" s="1"/>
  <c r="BD10" i="5"/>
  <c r="I96" i="1" s="1"/>
  <c r="BD11" i="5"/>
  <c r="J96" i="1" s="1"/>
  <c r="BD12" i="5"/>
  <c r="K96" i="1" s="1"/>
  <c r="BD13" i="5"/>
  <c r="L96" i="1" s="1"/>
  <c r="BD14" i="5"/>
  <c r="M96" i="1" s="1"/>
  <c r="BD15" i="5"/>
  <c r="N96" i="1" s="1"/>
  <c r="BD16" i="5"/>
  <c r="O96" i="1" s="1"/>
  <c r="BD17" i="5"/>
  <c r="P96" i="1" s="1"/>
  <c r="BD5" i="5"/>
  <c r="D96" i="1" s="1"/>
  <c r="AN6" i="5"/>
  <c r="E111" i="1" s="1"/>
  <c r="AN7" i="5"/>
  <c r="F111" i="1" s="1"/>
  <c r="AN8" i="5"/>
  <c r="G111" i="1" s="1"/>
  <c r="AN9" i="5"/>
  <c r="H111" i="1" s="1"/>
  <c r="AN10" i="5"/>
  <c r="I111" i="1" s="1"/>
  <c r="AN11" i="5"/>
  <c r="J111" i="1" s="1"/>
  <c r="AN12" i="5"/>
  <c r="K111" i="1" s="1"/>
  <c r="AN13" i="5"/>
  <c r="L111" i="1" s="1"/>
  <c r="AN14" i="5"/>
  <c r="M111" i="1" s="1"/>
  <c r="AN15" i="5"/>
  <c r="N111" i="1" s="1"/>
  <c r="AN16" i="5"/>
  <c r="O111" i="1" s="1"/>
  <c r="AN17" i="5"/>
  <c r="P111" i="1" s="1"/>
  <c r="AM6" i="5"/>
  <c r="E109" i="1" s="1"/>
  <c r="AM7" i="5"/>
  <c r="F109" i="1" s="1"/>
  <c r="AM8" i="5"/>
  <c r="G109" i="1" s="1"/>
  <c r="AM9" i="5"/>
  <c r="H109" i="1" s="1"/>
  <c r="AM10" i="5"/>
  <c r="I109" i="1" s="1"/>
  <c r="AM11" i="5"/>
  <c r="J109" i="1" s="1"/>
  <c r="AM12" i="5"/>
  <c r="K109" i="1" s="1"/>
  <c r="AM13" i="5"/>
  <c r="L109" i="1" s="1"/>
  <c r="AM14" i="5"/>
  <c r="M109" i="1" s="1"/>
  <c r="AM15" i="5"/>
  <c r="N109" i="1" s="1"/>
  <c r="AM16" i="5"/>
  <c r="O109" i="1" s="1"/>
  <c r="AM17" i="5"/>
  <c r="P109" i="1" s="1"/>
  <c r="AM5" i="5"/>
  <c r="D109" i="1" s="1"/>
  <c r="AL6" i="5"/>
  <c r="E113" i="1" s="1"/>
  <c r="AL7" i="5"/>
  <c r="F113" i="1" s="1"/>
  <c r="AL8" i="5"/>
  <c r="G113" i="1" s="1"/>
  <c r="AL9" i="5"/>
  <c r="H113" i="1" s="1"/>
  <c r="AL10" i="5"/>
  <c r="I113" i="1" s="1"/>
  <c r="AL11" i="5"/>
  <c r="J113" i="1" s="1"/>
  <c r="AL12" i="5"/>
  <c r="K113" i="1" s="1"/>
  <c r="AL13" i="5"/>
  <c r="L113" i="1" s="1"/>
  <c r="AL14" i="5"/>
  <c r="M113" i="1" s="1"/>
  <c r="AL15" i="5"/>
  <c r="N113" i="1" s="1"/>
  <c r="AL16" i="5"/>
  <c r="O113" i="1" s="1"/>
  <c r="AL17" i="5"/>
  <c r="P113" i="1" s="1"/>
  <c r="AL5" i="5"/>
  <c r="D113" i="1" s="1"/>
  <c r="AK6" i="5"/>
  <c r="E112" i="1" s="1"/>
  <c r="AK7" i="5"/>
  <c r="F112" i="1" s="1"/>
  <c r="AK8" i="5"/>
  <c r="G112" i="1" s="1"/>
  <c r="AK9" i="5"/>
  <c r="H112" i="1" s="1"/>
  <c r="AK10" i="5"/>
  <c r="I112" i="1" s="1"/>
  <c r="AK11" i="5"/>
  <c r="J112" i="1" s="1"/>
  <c r="AK12" i="5"/>
  <c r="K112" i="1" s="1"/>
  <c r="AK13" i="5"/>
  <c r="L112" i="1" s="1"/>
  <c r="AK14" i="5"/>
  <c r="M112" i="1" s="1"/>
  <c r="AK15" i="5"/>
  <c r="N112" i="1" s="1"/>
  <c r="AK16" i="5"/>
  <c r="O112" i="1" s="1"/>
  <c r="AK17" i="5"/>
  <c r="P112" i="1" s="1"/>
  <c r="AK5" i="5"/>
  <c r="D112" i="1" s="1"/>
  <c r="AN5" i="5"/>
  <c r="D111" i="1" s="1"/>
  <c r="AJ6" i="5"/>
  <c r="E110" i="1" s="1"/>
  <c r="AJ7" i="5"/>
  <c r="F110" i="1" s="1"/>
  <c r="AJ8" i="5"/>
  <c r="G110" i="1" s="1"/>
  <c r="AJ9" i="5"/>
  <c r="H110" i="1" s="1"/>
  <c r="AJ10" i="5"/>
  <c r="I110" i="1" s="1"/>
  <c r="AJ11" i="5"/>
  <c r="J110" i="1" s="1"/>
  <c r="AJ12" i="5"/>
  <c r="K110" i="1" s="1"/>
  <c r="AJ13" i="5"/>
  <c r="L110" i="1" s="1"/>
  <c r="AJ14" i="5"/>
  <c r="M110" i="1" s="1"/>
  <c r="AJ15" i="5"/>
  <c r="N110" i="1" s="1"/>
  <c r="AJ16" i="5"/>
  <c r="O110" i="1" s="1"/>
  <c r="AJ17" i="5"/>
  <c r="P110" i="1" s="1"/>
  <c r="AJ5" i="5"/>
  <c r="D110" i="1" s="1"/>
  <c r="AI6" i="5"/>
  <c r="E108" i="1" s="1"/>
  <c r="AI7" i="5"/>
  <c r="F108" i="1" s="1"/>
  <c r="AI8" i="5"/>
  <c r="G108" i="1" s="1"/>
  <c r="AI9" i="5"/>
  <c r="H108" i="1" s="1"/>
  <c r="AI10" i="5"/>
  <c r="I108" i="1" s="1"/>
  <c r="AI11" i="5"/>
  <c r="J108" i="1" s="1"/>
  <c r="AI12" i="5"/>
  <c r="K108" i="1" s="1"/>
  <c r="AI13" i="5"/>
  <c r="L108" i="1" s="1"/>
  <c r="AI14" i="5"/>
  <c r="M108" i="1" s="1"/>
  <c r="AI15" i="5"/>
  <c r="N108" i="1" s="1"/>
  <c r="AI16" i="5"/>
  <c r="O108" i="1" s="1"/>
  <c r="AI17" i="5"/>
  <c r="P108" i="1" s="1"/>
  <c r="AI5" i="5"/>
  <c r="D108" i="1" s="1"/>
  <c r="AH6" i="5"/>
  <c r="E107" i="1" s="1"/>
  <c r="AH7" i="5"/>
  <c r="F107" i="1" s="1"/>
  <c r="AH8" i="5"/>
  <c r="G107" i="1" s="1"/>
  <c r="AH9" i="5"/>
  <c r="H107" i="1" s="1"/>
  <c r="AH10" i="5"/>
  <c r="I107" i="1" s="1"/>
  <c r="AH11" i="5"/>
  <c r="J107" i="1" s="1"/>
  <c r="AH12" i="5"/>
  <c r="K107" i="1" s="1"/>
  <c r="AH13" i="5"/>
  <c r="L107" i="1" s="1"/>
  <c r="AH14" i="5"/>
  <c r="M107" i="1" s="1"/>
  <c r="AH15" i="5"/>
  <c r="N107" i="1" s="1"/>
  <c r="AH16" i="5"/>
  <c r="O107" i="1" s="1"/>
  <c r="AH17" i="5"/>
  <c r="P107" i="1" s="1"/>
  <c r="AH5" i="5"/>
  <c r="D107" i="1" s="1"/>
  <c r="AG6" i="5"/>
  <c r="AG7" i="5"/>
  <c r="AG8" i="5"/>
  <c r="AG9" i="5"/>
  <c r="AG10" i="5"/>
  <c r="AG11" i="5"/>
  <c r="AG12" i="5"/>
  <c r="AG13" i="5"/>
  <c r="AG14" i="5"/>
  <c r="AG15" i="5"/>
  <c r="AG16" i="5"/>
  <c r="AG17" i="5"/>
  <c r="AG5" i="5"/>
  <c r="S5" i="5"/>
  <c r="D86" i="1" s="1"/>
  <c r="T6" i="5"/>
  <c r="E88" i="1" s="1"/>
  <c r="T7" i="5"/>
  <c r="F88" i="1" s="1"/>
  <c r="T8" i="5"/>
  <c r="G88" i="1" s="1"/>
  <c r="T9" i="5"/>
  <c r="H88" i="1" s="1"/>
  <c r="T10" i="5"/>
  <c r="I88" i="1" s="1"/>
  <c r="T11" i="5"/>
  <c r="J88" i="1" s="1"/>
  <c r="T12" i="5"/>
  <c r="K88" i="1" s="1"/>
  <c r="T13" i="5"/>
  <c r="L88" i="1" s="1"/>
  <c r="T14" i="5"/>
  <c r="M88" i="1" s="1"/>
  <c r="T15" i="5"/>
  <c r="N88" i="1" s="1"/>
  <c r="T16" i="5"/>
  <c r="O88" i="1" s="1"/>
  <c r="T17" i="5"/>
  <c r="P88" i="1" s="1"/>
  <c r="T5" i="5"/>
  <c r="D88" i="1" s="1"/>
  <c r="S6" i="5"/>
  <c r="E86" i="1" s="1"/>
  <c r="S7" i="5"/>
  <c r="F86" i="1" s="1"/>
  <c r="S8" i="5"/>
  <c r="G86" i="1" s="1"/>
  <c r="S9" i="5"/>
  <c r="H86" i="1" s="1"/>
  <c r="S10" i="5"/>
  <c r="I86" i="1" s="1"/>
  <c r="S11" i="5"/>
  <c r="J86" i="1" s="1"/>
  <c r="S12" i="5"/>
  <c r="K86" i="1" s="1"/>
  <c r="S13" i="5"/>
  <c r="L86" i="1" s="1"/>
  <c r="S14" i="5"/>
  <c r="M86" i="1" s="1"/>
  <c r="S15" i="5"/>
  <c r="N86" i="1" s="1"/>
  <c r="S16" i="5"/>
  <c r="O86" i="1" s="1"/>
  <c r="S17" i="5"/>
  <c r="P86" i="1" s="1"/>
  <c r="R9" i="5"/>
  <c r="H90" i="1" s="1"/>
  <c r="R6" i="5"/>
  <c r="E90" i="1" s="1"/>
  <c r="R7" i="5"/>
  <c r="F90" i="1" s="1"/>
  <c r="R8" i="5"/>
  <c r="G90" i="1" s="1"/>
  <c r="R10" i="5"/>
  <c r="I90" i="1" s="1"/>
  <c r="R11" i="5"/>
  <c r="J90" i="1" s="1"/>
  <c r="R12" i="5"/>
  <c r="K90" i="1" s="1"/>
  <c r="R13" i="5"/>
  <c r="L90" i="1" s="1"/>
  <c r="R14" i="5"/>
  <c r="M90" i="1" s="1"/>
  <c r="R15" i="5"/>
  <c r="N90" i="1" s="1"/>
  <c r="R16" i="5"/>
  <c r="O90" i="1" s="1"/>
  <c r="R17" i="5"/>
  <c r="P90" i="1" s="1"/>
  <c r="R5" i="5"/>
  <c r="D90" i="1" s="1"/>
  <c r="Q6" i="5"/>
  <c r="E89" i="1" s="1"/>
  <c r="Q7" i="5"/>
  <c r="F89" i="1" s="1"/>
  <c r="Q8" i="5"/>
  <c r="G89" i="1" s="1"/>
  <c r="Q9" i="5"/>
  <c r="H89" i="1" s="1"/>
  <c r="Q10" i="5"/>
  <c r="I89" i="1" s="1"/>
  <c r="Q11" i="5"/>
  <c r="J89" i="1" s="1"/>
  <c r="Q12" i="5"/>
  <c r="K89" i="1" s="1"/>
  <c r="Q13" i="5"/>
  <c r="L89" i="1" s="1"/>
  <c r="Q14" i="5"/>
  <c r="M89" i="1" s="1"/>
  <c r="Q15" i="5"/>
  <c r="N89" i="1" s="1"/>
  <c r="Q16" i="5"/>
  <c r="O89" i="1" s="1"/>
  <c r="Q17" i="5"/>
  <c r="P89" i="1" s="1"/>
  <c r="Q5" i="5"/>
  <c r="D89" i="1" s="1"/>
  <c r="P6" i="5"/>
  <c r="E87" i="1" s="1"/>
  <c r="P7" i="5"/>
  <c r="F87" i="1" s="1"/>
  <c r="P8" i="5"/>
  <c r="G87" i="1" s="1"/>
  <c r="P9" i="5"/>
  <c r="H87" i="1" s="1"/>
  <c r="P10" i="5"/>
  <c r="I87" i="1" s="1"/>
  <c r="P11" i="5"/>
  <c r="J87" i="1" s="1"/>
  <c r="P12" i="5"/>
  <c r="K87" i="1" s="1"/>
  <c r="P13" i="5"/>
  <c r="L87" i="1" s="1"/>
  <c r="P14" i="5"/>
  <c r="M87" i="1" s="1"/>
  <c r="P15" i="5"/>
  <c r="N87" i="1" s="1"/>
  <c r="P16" i="5"/>
  <c r="O87" i="1" s="1"/>
  <c r="P17" i="5"/>
  <c r="P87" i="1" s="1"/>
  <c r="P5" i="5"/>
  <c r="D87" i="1" s="1"/>
  <c r="O8" i="5"/>
  <c r="G85" i="1" s="1"/>
  <c r="O5" i="5"/>
  <c r="D85" i="1" s="1"/>
  <c r="O6" i="5"/>
  <c r="E85" i="1" s="1"/>
  <c r="O7" i="5"/>
  <c r="F85" i="1" s="1"/>
  <c r="O9" i="5"/>
  <c r="H85" i="1" s="1"/>
  <c r="O10" i="5"/>
  <c r="I85" i="1" s="1"/>
  <c r="O11" i="5"/>
  <c r="J85" i="1" s="1"/>
  <c r="O12" i="5"/>
  <c r="K85" i="1" s="1"/>
  <c r="O13" i="5"/>
  <c r="L85" i="1" s="1"/>
  <c r="O14" i="5"/>
  <c r="M85" i="1" s="1"/>
  <c r="O15" i="5"/>
  <c r="N85" i="1" s="1"/>
  <c r="O16" i="5"/>
  <c r="O85" i="1" s="1"/>
  <c r="O17" i="5"/>
  <c r="P85" i="1" s="1"/>
  <c r="N6" i="5"/>
  <c r="E84" i="1" s="1"/>
  <c r="N7" i="5"/>
  <c r="F84" i="1" s="1"/>
  <c r="N8" i="5"/>
  <c r="G84" i="1" s="1"/>
  <c r="N9" i="5"/>
  <c r="H84" i="1" s="1"/>
  <c r="N10" i="5"/>
  <c r="I84" i="1" s="1"/>
  <c r="N11" i="5"/>
  <c r="J84" i="1" s="1"/>
  <c r="N12" i="5"/>
  <c r="K84" i="1" s="1"/>
  <c r="N13" i="5"/>
  <c r="L84" i="1" s="1"/>
  <c r="N14" i="5"/>
  <c r="M84" i="1" s="1"/>
  <c r="N15" i="5"/>
  <c r="N84" i="1" s="1"/>
  <c r="N16" i="5"/>
  <c r="O84" i="1" s="1"/>
  <c r="N17" i="5"/>
  <c r="P84" i="1" s="1"/>
  <c r="N5" i="5"/>
  <c r="D84" i="1" s="1"/>
  <c r="M16" i="5"/>
  <c r="M6" i="5"/>
  <c r="M7" i="5"/>
  <c r="M8" i="5"/>
  <c r="M9" i="5"/>
  <c r="M10" i="5"/>
  <c r="M11" i="5"/>
  <c r="M12" i="5"/>
  <c r="M13" i="5"/>
  <c r="M14" i="5"/>
  <c r="M15" i="5"/>
  <c r="M17" i="5"/>
  <c r="AC10" i="4"/>
  <c r="J66" i="1" s="1"/>
  <c r="AD13" i="4"/>
  <c r="M67" i="1" s="1"/>
  <c r="AI15" i="4"/>
  <c r="O70" i="1" s="1"/>
  <c r="AI5" i="4"/>
  <c r="E70" i="1" s="1"/>
  <c r="AI6" i="4"/>
  <c r="F70" i="1" s="1"/>
  <c r="AI7" i="4"/>
  <c r="G70" i="1" s="1"/>
  <c r="AI8" i="4"/>
  <c r="H70" i="1" s="1"/>
  <c r="AI9" i="4"/>
  <c r="I70" i="1" s="1"/>
  <c r="AI10" i="4"/>
  <c r="J70" i="1" s="1"/>
  <c r="AI11" i="4"/>
  <c r="K70" i="1" s="1"/>
  <c r="AI12" i="4"/>
  <c r="L70" i="1" s="1"/>
  <c r="AI13" i="4"/>
  <c r="M70" i="1" s="1"/>
  <c r="AI14" i="4"/>
  <c r="N70" i="1" s="1"/>
  <c r="AI16" i="4"/>
  <c r="P70" i="1" s="1"/>
  <c r="AI4" i="4"/>
  <c r="D70" i="1" s="1"/>
  <c r="AH5" i="4"/>
  <c r="E68" i="1" s="1"/>
  <c r="AH6" i="4"/>
  <c r="F68" i="1" s="1"/>
  <c r="AH7" i="4"/>
  <c r="G68" i="1" s="1"/>
  <c r="AH8" i="4"/>
  <c r="H68" i="1" s="1"/>
  <c r="AH9" i="4"/>
  <c r="I68" i="1" s="1"/>
  <c r="AH10" i="4"/>
  <c r="J68" i="1" s="1"/>
  <c r="AH11" i="4"/>
  <c r="K68" i="1" s="1"/>
  <c r="AH12" i="4"/>
  <c r="L68" i="1" s="1"/>
  <c r="AH13" i="4"/>
  <c r="M68" i="1" s="1"/>
  <c r="AH14" i="4"/>
  <c r="N68" i="1" s="1"/>
  <c r="AH15" i="4"/>
  <c r="O68" i="1" s="1"/>
  <c r="AH16" i="4"/>
  <c r="P68" i="1" s="1"/>
  <c r="AH4" i="4"/>
  <c r="D68" i="1" s="1"/>
  <c r="AG5" i="4"/>
  <c r="E72" i="1" s="1"/>
  <c r="AG6" i="4"/>
  <c r="F72" i="1" s="1"/>
  <c r="AG7" i="4"/>
  <c r="G72" i="1" s="1"/>
  <c r="AG8" i="4"/>
  <c r="H72" i="1" s="1"/>
  <c r="AG9" i="4"/>
  <c r="I72" i="1" s="1"/>
  <c r="AG10" i="4"/>
  <c r="J72" i="1" s="1"/>
  <c r="AG11" i="4"/>
  <c r="K72" i="1" s="1"/>
  <c r="AG12" i="4"/>
  <c r="L72" i="1" s="1"/>
  <c r="AG13" i="4"/>
  <c r="M72" i="1" s="1"/>
  <c r="AG14" i="4"/>
  <c r="N72" i="1" s="1"/>
  <c r="AG15" i="4"/>
  <c r="O72" i="1" s="1"/>
  <c r="AG16" i="4"/>
  <c r="P72" i="1" s="1"/>
  <c r="AG4" i="4"/>
  <c r="D72" i="1" s="1"/>
  <c r="AF5" i="4"/>
  <c r="E71" i="1" s="1"/>
  <c r="AF6" i="4"/>
  <c r="F71" i="1" s="1"/>
  <c r="AF7" i="4"/>
  <c r="G71" i="1" s="1"/>
  <c r="AF8" i="4"/>
  <c r="H71" i="1" s="1"/>
  <c r="AF9" i="4"/>
  <c r="I71" i="1" s="1"/>
  <c r="AF10" i="4"/>
  <c r="J71" i="1" s="1"/>
  <c r="AF11" i="4"/>
  <c r="K71" i="1" s="1"/>
  <c r="AF12" i="4"/>
  <c r="L71" i="1" s="1"/>
  <c r="AF13" i="4"/>
  <c r="M71" i="1" s="1"/>
  <c r="AF14" i="4"/>
  <c r="N71" i="1" s="1"/>
  <c r="AF15" i="4"/>
  <c r="O71" i="1" s="1"/>
  <c r="AF16" i="4"/>
  <c r="P71" i="1" s="1"/>
  <c r="AF4" i="4"/>
  <c r="D71" i="1" s="1"/>
  <c r="AE5" i="4"/>
  <c r="E69" i="1" s="1"/>
  <c r="AE6" i="4"/>
  <c r="F69" i="1" s="1"/>
  <c r="AE7" i="4"/>
  <c r="G69" i="1" s="1"/>
  <c r="AE8" i="4"/>
  <c r="H69" i="1" s="1"/>
  <c r="AE9" i="4"/>
  <c r="I69" i="1" s="1"/>
  <c r="AE10" i="4"/>
  <c r="J69" i="1" s="1"/>
  <c r="AE11" i="4"/>
  <c r="K69" i="1" s="1"/>
  <c r="AE12" i="4"/>
  <c r="L69" i="1" s="1"/>
  <c r="AE13" i="4"/>
  <c r="M69" i="1" s="1"/>
  <c r="AE14" i="4"/>
  <c r="N69" i="1" s="1"/>
  <c r="AE15" i="4"/>
  <c r="O69" i="1" s="1"/>
  <c r="AE16" i="4"/>
  <c r="P69" i="1" s="1"/>
  <c r="AE4" i="4"/>
  <c r="D69" i="1" s="1"/>
  <c r="AD5" i="4"/>
  <c r="E67" i="1" s="1"/>
  <c r="AD6" i="4"/>
  <c r="F67" i="1" s="1"/>
  <c r="AD7" i="4"/>
  <c r="G67" i="1" s="1"/>
  <c r="AD8" i="4"/>
  <c r="H67" i="1" s="1"/>
  <c r="AD9" i="4"/>
  <c r="I67" i="1" s="1"/>
  <c r="AD10" i="4"/>
  <c r="J67" i="1" s="1"/>
  <c r="AD11" i="4"/>
  <c r="K67" i="1" s="1"/>
  <c r="AD12" i="4"/>
  <c r="L67" i="1" s="1"/>
  <c r="AD14" i="4"/>
  <c r="N67" i="1" s="1"/>
  <c r="AD15" i="4"/>
  <c r="O67" i="1" s="1"/>
  <c r="AD16" i="4"/>
  <c r="P67" i="1" s="1"/>
  <c r="AD4" i="4"/>
  <c r="D67" i="1" s="1"/>
  <c r="AC5" i="4"/>
  <c r="E66" i="1" s="1"/>
  <c r="AC6" i="4"/>
  <c r="F66" i="1" s="1"/>
  <c r="AC7" i="4"/>
  <c r="G66" i="1" s="1"/>
  <c r="AC8" i="4"/>
  <c r="H66" i="1" s="1"/>
  <c r="AC9" i="4"/>
  <c r="I66" i="1" s="1"/>
  <c r="AC11" i="4"/>
  <c r="K66" i="1" s="1"/>
  <c r="AC12" i="4"/>
  <c r="L66" i="1" s="1"/>
  <c r="AC13" i="4"/>
  <c r="M66" i="1" s="1"/>
  <c r="AC14" i="4"/>
  <c r="N66" i="1" s="1"/>
  <c r="AC15" i="4"/>
  <c r="O66" i="1" s="1"/>
  <c r="AC16" i="4"/>
  <c r="P66" i="1" s="1"/>
  <c r="AC4" i="4"/>
  <c r="D66" i="1" s="1"/>
  <c r="AB16" i="4"/>
  <c r="AB5" i="4"/>
  <c r="AB6" i="4"/>
  <c r="AB7" i="4"/>
  <c r="AB8" i="4"/>
  <c r="AB9" i="4"/>
  <c r="AB10" i="4"/>
  <c r="AB11" i="4"/>
  <c r="AB12" i="4"/>
  <c r="AB13" i="4"/>
  <c r="AB14" i="4"/>
  <c r="AB15" i="4"/>
  <c r="AZ23" i="12"/>
  <c r="AZ24" i="12"/>
  <c r="E40" i="1" s="1"/>
  <c r="AZ25" i="12"/>
  <c r="F40" i="1" s="1"/>
  <c r="AZ26" i="12"/>
  <c r="G40" i="1" s="1"/>
  <c r="AZ27" i="12"/>
  <c r="H40" i="1" s="1"/>
  <c r="AZ28" i="12"/>
  <c r="I40" i="1" s="1"/>
  <c r="AZ29" i="12"/>
  <c r="J40" i="1" s="1"/>
  <c r="AZ30" i="12"/>
  <c r="K40" i="1" s="1"/>
  <c r="AZ31" i="12"/>
  <c r="L40" i="1" s="1"/>
  <c r="AZ32" i="12"/>
  <c r="M40" i="1" s="1"/>
  <c r="AZ33" i="12"/>
  <c r="N40" i="1" s="1"/>
  <c r="AZ34" i="12"/>
  <c r="O40" i="1" s="1"/>
  <c r="AZ35" i="12"/>
  <c r="P40" i="1" s="1"/>
  <c r="AZ40" i="12"/>
  <c r="E54" i="1" s="1"/>
  <c r="AZ41" i="12"/>
  <c r="F54" i="1" s="1"/>
  <c r="AZ42" i="12"/>
  <c r="G54" i="1" s="1"/>
  <c r="AZ43" i="12"/>
  <c r="H54" i="1" s="1"/>
  <c r="AZ44" i="12"/>
  <c r="I54" i="1" s="1"/>
  <c r="AZ45" i="12"/>
  <c r="J54" i="1" s="1"/>
  <c r="AZ46" i="12"/>
  <c r="K54" i="1" s="1"/>
  <c r="AZ47" i="12"/>
  <c r="L54" i="1" s="1"/>
  <c r="AZ48" i="12"/>
  <c r="M54" i="1" s="1"/>
  <c r="AZ49" i="12"/>
  <c r="N54" i="1" s="1"/>
  <c r="AZ50" i="12"/>
  <c r="O54" i="1" s="1"/>
  <c r="AZ51" i="12"/>
  <c r="P54" i="1" s="1"/>
  <c r="AZ52" i="12"/>
  <c r="AZ39" i="12"/>
  <c r="D54" i="1" s="1"/>
  <c r="AY39" i="12"/>
  <c r="D53" i="1" s="1"/>
  <c r="AY40" i="12"/>
  <c r="E53" i="1" s="1"/>
  <c r="AY41" i="12"/>
  <c r="F53" i="1" s="1"/>
  <c r="AY42" i="12"/>
  <c r="G53" i="1" s="1"/>
  <c r="AY43" i="12"/>
  <c r="H53" i="1" s="1"/>
  <c r="AY44" i="12"/>
  <c r="I53" i="1" s="1"/>
  <c r="AY45" i="12"/>
  <c r="J53" i="1" s="1"/>
  <c r="AY46" i="12"/>
  <c r="K53" i="1" s="1"/>
  <c r="AY47" i="12"/>
  <c r="L53" i="1" s="1"/>
  <c r="AY48" i="12"/>
  <c r="M53" i="1" s="1"/>
  <c r="AY49" i="12"/>
  <c r="N53" i="1" s="1"/>
  <c r="AY50" i="12"/>
  <c r="O53" i="1" s="1"/>
  <c r="AY51" i="12"/>
  <c r="P53" i="1" s="1"/>
  <c r="AY52" i="12"/>
  <c r="BD49" i="12"/>
  <c r="N55" i="1" s="1"/>
  <c r="BD40" i="12"/>
  <c r="E55" i="1" s="1"/>
  <c r="BD41" i="12"/>
  <c r="F55" i="1" s="1"/>
  <c r="BD42" i="12"/>
  <c r="G55" i="1" s="1"/>
  <c r="BD43" i="12"/>
  <c r="H55" i="1" s="1"/>
  <c r="BD44" i="12"/>
  <c r="I55" i="1" s="1"/>
  <c r="BD45" i="12"/>
  <c r="J55" i="1" s="1"/>
  <c r="BD46" i="12"/>
  <c r="K55" i="1" s="1"/>
  <c r="BD47" i="12"/>
  <c r="L55" i="1" s="1"/>
  <c r="BD48" i="12"/>
  <c r="M55" i="1" s="1"/>
  <c r="BD50" i="12"/>
  <c r="O55" i="1" s="1"/>
  <c r="BD51" i="12"/>
  <c r="P55" i="1" s="1"/>
  <c r="BD52" i="12"/>
  <c r="BD39" i="12"/>
  <c r="D55" i="1" s="1"/>
  <c r="BC40" i="12"/>
  <c r="E59" i="1" s="1"/>
  <c r="BC41" i="12"/>
  <c r="F59" i="1" s="1"/>
  <c r="BC42" i="12"/>
  <c r="G59" i="1" s="1"/>
  <c r="BC43" i="12"/>
  <c r="H59" i="1" s="1"/>
  <c r="BC44" i="12"/>
  <c r="I59" i="1" s="1"/>
  <c r="BC45" i="12"/>
  <c r="J59" i="1" s="1"/>
  <c r="BC46" i="12"/>
  <c r="K59" i="1" s="1"/>
  <c r="BC47" i="12"/>
  <c r="L59" i="1" s="1"/>
  <c r="BC48" i="12"/>
  <c r="M59" i="1" s="1"/>
  <c r="BC49" i="12"/>
  <c r="N59" i="1" s="1"/>
  <c r="BC50" i="12"/>
  <c r="O59" i="1" s="1"/>
  <c r="BC51" i="12"/>
  <c r="P59" i="1" s="1"/>
  <c r="BC52" i="12"/>
  <c r="BC39" i="12"/>
  <c r="D59" i="1" s="1"/>
  <c r="BB40" i="12"/>
  <c r="E58" i="1" s="1"/>
  <c r="BB41" i="12"/>
  <c r="F58" i="1" s="1"/>
  <c r="BB42" i="12"/>
  <c r="G58" i="1" s="1"/>
  <c r="BB43" i="12"/>
  <c r="H58" i="1" s="1"/>
  <c r="BB44" i="12"/>
  <c r="I58" i="1" s="1"/>
  <c r="BB45" i="12"/>
  <c r="J58" i="1" s="1"/>
  <c r="BB46" i="12"/>
  <c r="K58" i="1" s="1"/>
  <c r="BB47" i="12"/>
  <c r="L58" i="1" s="1"/>
  <c r="BB48" i="12"/>
  <c r="M58" i="1" s="1"/>
  <c r="BB49" i="12"/>
  <c r="N58" i="1" s="1"/>
  <c r="BB50" i="12"/>
  <c r="O58" i="1" s="1"/>
  <c r="BB51" i="12"/>
  <c r="P58" i="1" s="1"/>
  <c r="BB52" i="12"/>
  <c r="BB39" i="12"/>
  <c r="D58" i="1" s="1"/>
  <c r="BB23" i="12"/>
  <c r="BE39" i="12"/>
  <c r="D57" i="1" s="1"/>
  <c r="BA40" i="12"/>
  <c r="E56" i="1" s="1"/>
  <c r="BA41" i="12"/>
  <c r="F56" i="1" s="1"/>
  <c r="BA42" i="12"/>
  <c r="G56" i="1" s="1"/>
  <c r="BA43" i="12"/>
  <c r="H56" i="1" s="1"/>
  <c r="BA44" i="12"/>
  <c r="I56" i="1" s="1"/>
  <c r="BA45" i="12"/>
  <c r="J56" i="1" s="1"/>
  <c r="BA46" i="12"/>
  <c r="K56" i="1" s="1"/>
  <c r="BA47" i="12"/>
  <c r="L56" i="1" s="1"/>
  <c r="BA48" i="12"/>
  <c r="M56" i="1" s="1"/>
  <c r="BA49" i="12"/>
  <c r="N56" i="1" s="1"/>
  <c r="BA50" i="12"/>
  <c r="O56" i="1" s="1"/>
  <c r="BA51" i="12"/>
  <c r="P56" i="1" s="1"/>
  <c r="BA52" i="12"/>
  <c r="BA39" i="12"/>
  <c r="D56" i="1" s="1"/>
  <c r="BA23" i="12"/>
  <c r="AX39" i="12"/>
  <c r="D52" i="1" s="1"/>
  <c r="AX51" i="12"/>
  <c r="P52" i="1" s="1"/>
  <c r="AX40" i="12"/>
  <c r="E52" i="1" s="1"/>
  <c r="AX41" i="12"/>
  <c r="F52" i="1" s="1"/>
  <c r="AX42" i="12"/>
  <c r="G52" i="1" s="1"/>
  <c r="AX43" i="12"/>
  <c r="H52" i="1" s="1"/>
  <c r="AX44" i="12"/>
  <c r="I52" i="1" s="1"/>
  <c r="AX45" i="12"/>
  <c r="J52" i="1" s="1"/>
  <c r="AX46" i="12"/>
  <c r="K52" i="1" s="1"/>
  <c r="AX47" i="12"/>
  <c r="L52" i="1" s="1"/>
  <c r="AX48" i="12"/>
  <c r="M52" i="1" s="1"/>
  <c r="AX49" i="12"/>
  <c r="N52" i="1" s="1"/>
  <c r="AX50" i="12"/>
  <c r="O52" i="1" s="1"/>
  <c r="AX52" i="12"/>
  <c r="BE40" i="12"/>
  <c r="E57" i="1" s="1"/>
  <c r="BE41" i="12"/>
  <c r="F57" i="1" s="1"/>
  <c r="BE42" i="12"/>
  <c r="G57" i="1" s="1"/>
  <c r="BE43" i="12"/>
  <c r="H57" i="1" s="1"/>
  <c r="BE44" i="12"/>
  <c r="I57" i="1" s="1"/>
  <c r="BE45" i="12"/>
  <c r="J57" i="1" s="1"/>
  <c r="BE46" i="12"/>
  <c r="K57" i="1" s="1"/>
  <c r="BE47" i="12"/>
  <c r="L57" i="1" s="1"/>
  <c r="BE48" i="12"/>
  <c r="M57" i="1" s="1"/>
  <c r="BE49" i="12"/>
  <c r="N57" i="1" s="1"/>
  <c r="BE50" i="12"/>
  <c r="O57" i="1" s="1"/>
  <c r="BE51" i="12"/>
  <c r="P57" i="1" s="1"/>
  <c r="BE52" i="12"/>
  <c r="BE24" i="12"/>
  <c r="E43" i="1" s="1"/>
  <c r="BE25" i="12"/>
  <c r="F43" i="1" s="1"/>
  <c r="BE26" i="12"/>
  <c r="G43" i="1" s="1"/>
  <c r="BE27" i="12"/>
  <c r="H43" i="1" s="1"/>
  <c r="BE28" i="12"/>
  <c r="I43" i="1" s="1"/>
  <c r="BE29" i="12"/>
  <c r="J43" i="1" s="1"/>
  <c r="BE30" i="12"/>
  <c r="K43" i="1" s="1"/>
  <c r="BE31" i="12"/>
  <c r="L43" i="1" s="1"/>
  <c r="BE32" i="12"/>
  <c r="M43" i="1" s="1"/>
  <c r="BE33" i="12"/>
  <c r="N43" i="1" s="1"/>
  <c r="BE34" i="12"/>
  <c r="O43" i="1" s="1"/>
  <c r="BE35" i="12"/>
  <c r="P43" i="1" s="1"/>
  <c r="BE23" i="12"/>
  <c r="BD23" i="12"/>
  <c r="BD24" i="12"/>
  <c r="E41" i="1" s="1"/>
  <c r="BD25" i="12"/>
  <c r="F41" i="1" s="1"/>
  <c r="BD26" i="12"/>
  <c r="G41" i="1" s="1"/>
  <c r="BD27" i="12"/>
  <c r="H41" i="1" s="1"/>
  <c r="BD28" i="12"/>
  <c r="I41" i="1" s="1"/>
  <c r="BD29" i="12"/>
  <c r="J41" i="1" s="1"/>
  <c r="BD30" i="12"/>
  <c r="K41" i="1" s="1"/>
  <c r="BD31" i="12"/>
  <c r="L41" i="1" s="1"/>
  <c r="BD32" i="12"/>
  <c r="M41" i="1" s="1"/>
  <c r="BD33" i="12"/>
  <c r="N41" i="1" s="1"/>
  <c r="BD34" i="12"/>
  <c r="O41" i="1" s="1"/>
  <c r="BD35" i="12"/>
  <c r="P41" i="1" s="1"/>
  <c r="BC24" i="12"/>
  <c r="E45" i="1" s="1"/>
  <c r="BC25" i="12"/>
  <c r="F45" i="1" s="1"/>
  <c r="BC26" i="12"/>
  <c r="G45" i="1" s="1"/>
  <c r="BC27" i="12"/>
  <c r="H45" i="1" s="1"/>
  <c r="BC28" i="12"/>
  <c r="I45" i="1" s="1"/>
  <c r="BC29" i="12"/>
  <c r="J45" i="1" s="1"/>
  <c r="BC30" i="12"/>
  <c r="K45" i="1" s="1"/>
  <c r="BC31" i="12"/>
  <c r="L45" i="1" s="1"/>
  <c r="BC32" i="12"/>
  <c r="M45" i="1" s="1"/>
  <c r="BC33" i="12"/>
  <c r="N45" i="1" s="1"/>
  <c r="BC34" i="12"/>
  <c r="O45" i="1" s="1"/>
  <c r="BC35" i="12"/>
  <c r="P45" i="1" s="1"/>
  <c r="BC23" i="12"/>
  <c r="BB33" i="12"/>
  <c r="N44" i="1" s="1"/>
  <c r="BB24" i="12"/>
  <c r="E44" i="1" s="1"/>
  <c r="BB25" i="12"/>
  <c r="F44" i="1" s="1"/>
  <c r="BB26" i="12"/>
  <c r="G44" i="1" s="1"/>
  <c r="BB27" i="12"/>
  <c r="H44" i="1" s="1"/>
  <c r="BB28" i="12"/>
  <c r="I44" i="1" s="1"/>
  <c r="BB29" i="12"/>
  <c r="J44" i="1" s="1"/>
  <c r="BB30" i="12"/>
  <c r="K44" i="1" s="1"/>
  <c r="BB31" i="12"/>
  <c r="L44" i="1" s="1"/>
  <c r="BB32" i="12"/>
  <c r="M44" i="1" s="1"/>
  <c r="BB34" i="12"/>
  <c r="O44" i="1" s="1"/>
  <c r="BB35" i="12"/>
  <c r="P44" i="1" s="1"/>
  <c r="BA24" i="12"/>
  <c r="E42" i="1" s="1"/>
  <c r="BA25" i="12"/>
  <c r="F42" i="1" s="1"/>
  <c r="BA26" i="12"/>
  <c r="G42" i="1" s="1"/>
  <c r="BA27" i="12"/>
  <c r="H42" i="1" s="1"/>
  <c r="BA28" i="12"/>
  <c r="I42" i="1" s="1"/>
  <c r="BA29" i="12"/>
  <c r="J42" i="1" s="1"/>
  <c r="BA30" i="12"/>
  <c r="K42" i="1" s="1"/>
  <c r="BA31" i="12"/>
  <c r="L42" i="1" s="1"/>
  <c r="BA32" i="12"/>
  <c r="M42" i="1" s="1"/>
  <c r="BA33" i="12"/>
  <c r="N42" i="1" s="1"/>
  <c r="BA34" i="12"/>
  <c r="O42" i="1" s="1"/>
  <c r="BA35" i="12"/>
  <c r="P42" i="1" s="1"/>
  <c r="AY32" i="12"/>
  <c r="M39" i="1" s="1"/>
  <c r="AY24" i="12"/>
  <c r="E39" i="1" s="1"/>
  <c r="AY25" i="12"/>
  <c r="F39" i="1" s="1"/>
  <c r="AY26" i="12"/>
  <c r="G39" i="1" s="1"/>
  <c r="AY27" i="12"/>
  <c r="H39" i="1" s="1"/>
  <c r="AY28" i="12"/>
  <c r="I39" i="1" s="1"/>
  <c r="AY29" i="12"/>
  <c r="J39" i="1" s="1"/>
  <c r="AY30" i="12"/>
  <c r="K39" i="1" s="1"/>
  <c r="AY31" i="12"/>
  <c r="L39" i="1" s="1"/>
  <c r="AY33" i="12"/>
  <c r="N39" i="1" s="1"/>
  <c r="AY34" i="12"/>
  <c r="O39" i="1" s="1"/>
  <c r="AY35" i="12"/>
  <c r="P39" i="1" s="1"/>
  <c r="AY23" i="12"/>
  <c r="AX24" i="12"/>
  <c r="E38" i="1" s="1"/>
  <c r="AX25" i="12"/>
  <c r="F38" i="1" s="1"/>
  <c r="AX26" i="12"/>
  <c r="G38" i="1" s="1"/>
  <c r="AX27" i="12"/>
  <c r="H38" i="1" s="1"/>
  <c r="AX28" i="12"/>
  <c r="I38" i="1" s="1"/>
  <c r="AX29" i="12"/>
  <c r="J38" i="1" s="1"/>
  <c r="AX30" i="12"/>
  <c r="K38" i="1" s="1"/>
  <c r="AX31" i="12"/>
  <c r="L38" i="1" s="1"/>
  <c r="AX32" i="12"/>
  <c r="M38" i="1" s="1"/>
  <c r="AX33" i="12"/>
  <c r="N38" i="1" s="1"/>
  <c r="AX34" i="12"/>
  <c r="O38" i="1" s="1"/>
  <c r="AX35" i="12"/>
  <c r="P38" i="1" s="1"/>
  <c r="AX23" i="12"/>
  <c r="BE7" i="12"/>
  <c r="E29" i="1" s="1"/>
  <c r="BE8" i="12"/>
  <c r="F29" i="1" s="1"/>
  <c r="BE9" i="12"/>
  <c r="G29" i="1" s="1"/>
  <c r="BE10" i="12"/>
  <c r="H29" i="1" s="1"/>
  <c r="BE11" i="12"/>
  <c r="I29" i="1" s="1"/>
  <c r="BE12" i="12"/>
  <c r="J29" i="1" s="1"/>
  <c r="BE13" i="12"/>
  <c r="K29" i="1" s="1"/>
  <c r="BE14" i="12"/>
  <c r="L29" i="1" s="1"/>
  <c r="BE15" i="12"/>
  <c r="M29" i="1" s="1"/>
  <c r="BE16" i="12"/>
  <c r="N29" i="1" s="1"/>
  <c r="BE17" i="12"/>
  <c r="O29" i="1" s="1"/>
  <c r="BE18" i="12"/>
  <c r="P29" i="1" s="1"/>
  <c r="BE6" i="12"/>
  <c r="BD18" i="12"/>
  <c r="P27" i="1" s="1"/>
  <c r="BD7" i="12"/>
  <c r="E27" i="1" s="1"/>
  <c r="BD8" i="12"/>
  <c r="F27" i="1" s="1"/>
  <c r="BD9" i="12"/>
  <c r="G27" i="1" s="1"/>
  <c r="BD10" i="12"/>
  <c r="H27" i="1" s="1"/>
  <c r="BD11" i="12"/>
  <c r="I27" i="1" s="1"/>
  <c r="BD12" i="12"/>
  <c r="J27" i="1" s="1"/>
  <c r="BD13" i="12"/>
  <c r="K27" i="1" s="1"/>
  <c r="BD14" i="12"/>
  <c r="L27" i="1" s="1"/>
  <c r="BD15" i="12"/>
  <c r="M27" i="1" s="1"/>
  <c r="BD16" i="12"/>
  <c r="N27" i="1" s="1"/>
  <c r="BD17" i="12"/>
  <c r="O27" i="1" s="1"/>
  <c r="BD6" i="12"/>
  <c r="BC6" i="12"/>
  <c r="BC7" i="12"/>
  <c r="E31" i="1" s="1"/>
  <c r="BC8" i="12"/>
  <c r="F31" i="1" s="1"/>
  <c r="BC9" i="12"/>
  <c r="G31" i="1" s="1"/>
  <c r="BC10" i="12"/>
  <c r="H31" i="1" s="1"/>
  <c r="BC11" i="12"/>
  <c r="I31" i="1" s="1"/>
  <c r="BC12" i="12"/>
  <c r="J31" i="1" s="1"/>
  <c r="BC13" i="12"/>
  <c r="K31" i="1" s="1"/>
  <c r="BC14" i="12"/>
  <c r="L31" i="1" s="1"/>
  <c r="BC15" i="12"/>
  <c r="M31" i="1" s="1"/>
  <c r="BC16" i="12"/>
  <c r="N31" i="1" s="1"/>
  <c r="BC17" i="12"/>
  <c r="O31" i="1" s="1"/>
  <c r="BC18" i="12"/>
  <c r="P31" i="1" s="1"/>
  <c r="BB7" i="12"/>
  <c r="E30" i="1" s="1"/>
  <c r="BB8" i="12"/>
  <c r="F30" i="1" s="1"/>
  <c r="BB9" i="12"/>
  <c r="G30" i="1" s="1"/>
  <c r="BB10" i="12"/>
  <c r="H30" i="1" s="1"/>
  <c r="BB11" i="12"/>
  <c r="I30" i="1" s="1"/>
  <c r="BB12" i="12"/>
  <c r="J30" i="1" s="1"/>
  <c r="BB13" i="12"/>
  <c r="K30" i="1" s="1"/>
  <c r="BB14" i="12"/>
  <c r="L30" i="1" s="1"/>
  <c r="BB15" i="12"/>
  <c r="M30" i="1" s="1"/>
  <c r="BB16" i="12"/>
  <c r="N30" i="1" s="1"/>
  <c r="BB17" i="12"/>
  <c r="O30" i="1" s="1"/>
  <c r="BB18" i="12"/>
  <c r="P30" i="1" s="1"/>
  <c r="BB6" i="12"/>
  <c r="BA6" i="12"/>
  <c r="AZ7" i="12"/>
  <c r="E26" i="1" s="1"/>
  <c r="AZ8" i="12"/>
  <c r="F26" i="1" s="1"/>
  <c r="AZ9" i="12"/>
  <c r="G26" i="1" s="1"/>
  <c r="AZ10" i="12"/>
  <c r="H26" i="1" s="1"/>
  <c r="AZ11" i="12"/>
  <c r="I26" i="1" s="1"/>
  <c r="AZ12" i="12"/>
  <c r="J26" i="1" s="1"/>
  <c r="AZ13" i="12"/>
  <c r="K26" i="1" s="1"/>
  <c r="AZ14" i="12"/>
  <c r="L26" i="1" s="1"/>
  <c r="AZ15" i="12"/>
  <c r="M26" i="1" s="1"/>
  <c r="AZ16" i="12"/>
  <c r="N26" i="1" s="1"/>
  <c r="AZ17" i="12"/>
  <c r="O26" i="1" s="1"/>
  <c r="AZ18" i="12"/>
  <c r="P26" i="1" s="1"/>
  <c r="AZ6" i="12"/>
  <c r="AY14" i="12"/>
  <c r="L25" i="1" s="1"/>
  <c r="AY7" i="12"/>
  <c r="E25" i="1" s="1"/>
  <c r="AY8" i="12"/>
  <c r="F25" i="1" s="1"/>
  <c r="AY9" i="12"/>
  <c r="G25" i="1" s="1"/>
  <c r="AY10" i="12"/>
  <c r="H25" i="1" s="1"/>
  <c r="AY11" i="12"/>
  <c r="I25" i="1" s="1"/>
  <c r="AY12" i="12"/>
  <c r="J25" i="1" s="1"/>
  <c r="AY13" i="12"/>
  <c r="K25" i="1" s="1"/>
  <c r="AY15" i="12"/>
  <c r="M25" i="1" s="1"/>
  <c r="AY16" i="12"/>
  <c r="N25" i="1" s="1"/>
  <c r="AY17" i="12"/>
  <c r="O25" i="1" s="1"/>
  <c r="AY18" i="12"/>
  <c r="P25" i="1" s="1"/>
  <c r="AY6" i="12"/>
  <c r="AX7" i="12"/>
  <c r="AX8" i="12"/>
  <c r="AX9" i="12"/>
  <c r="AX10" i="12"/>
  <c r="AX11" i="12"/>
  <c r="AX12" i="12"/>
  <c r="AX13" i="12"/>
  <c r="AX14" i="12"/>
  <c r="AX15" i="12"/>
  <c r="AX16" i="12"/>
  <c r="AX17" i="12"/>
  <c r="AX18" i="12"/>
  <c r="AX6" i="12"/>
  <c r="BA18" i="12"/>
  <c r="P28" i="1" s="1"/>
  <c r="BA17" i="12"/>
  <c r="O28" i="1" s="1"/>
  <c r="BA16" i="12"/>
  <c r="N28" i="1" s="1"/>
  <c r="BA15" i="12"/>
  <c r="M28" i="1" s="1"/>
  <c r="BA14" i="12"/>
  <c r="L28" i="1" s="1"/>
  <c r="BA13" i="12"/>
  <c r="K28" i="1" s="1"/>
  <c r="BA12" i="12"/>
  <c r="J28" i="1" s="1"/>
  <c r="BA11" i="12"/>
  <c r="I28" i="1" s="1"/>
  <c r="BA10" i="12"/>
  <c r="H28" i="1" s="1"/>
  <c r="BA9" i="12"/>
  <c r="G28" i="1" s="1"/>
  <c r="BA8" i="12"/>
  <c r="F28" i="1" s="1"/>
  <c r="BA7" i="12"/>
  <c r="E28" i="1" s="1"/>
  <c r="D8" i="1"/>
  <c r="X5" i="3"/>
  <c r="E13" i="1" s="1"/>
  <c r="X6" i="3"/>
  <c r="F13" i="1" s="1"/>
  <c r="X7" i="3"/>
  <c r="G13" i="1" s="1"/>
  <c r="X8" i="3"/>
  <c r="H13" i="1" s="1"/>
  <c r="X9" i="3"/>
  <c r="I13" i="1" s="1"/>
  <c r="X10" i="3"/>
  <c r="J13" i="1" s="1"/>
  <c r="X11" i="3"/>
  <c r="K13" i="1" s="1"/>
  <c r="X12" i="3"/>
  <c r="L13" i="1" s="1"/>
  <c r="X13" i="3"/>
  <c r="M13" i="1" s="1"/>
  <c r="X14" i="3"/>
  <c r="N13" i="1" s="1"/>
  <c r="X15" i="3"/>
  <c r="O13" i="1" s="1"/>
  <c r="X16" i="3"/>
  <c r="P13" i="1" s="1"/>
  <c r="X4" i="3"/>
  <c r="D13" i="1" s="1"/>
  <c r="W8" i="3"/>
  <c r="H11" i="1" s="1"/>
  <c r="W5" i="3"/>
  <c r="E11" i="1" s="1"/>
  <c r="W6" i="3"/>
  <c r="F11" i="1" s="1"/>
  <c r="W7" i="3"/>
  <c r="G11" i="1" s="1"/>
  <c r="W9" i="3"/>
  <c r="I11" i="1" s="1"/>
  <c r="W10" i="3"/>
  <c r="J11" i="1" s="1"/>
  <c r="W11" i="3"/>
  <c r="K11" i="1" s="1"/>
  <c r="W12" i="3"/>
  <c r="L11" i="1" s="1"/>
  <c r="W13" i="3"/>
  <c r="M11" i="1" s="1"/>
  <c r="W14" i="3"/>
  <c r="N11" i="1" s="1"/>
  <c r="W15" i="3"/>
  <c r="O11" i="1" s="1"/>
  <c r="W16" i="3"/>
  <c r="P11" i="1" s="1"/>
  <c r="W4" i="3"/>
  <c r="D11" i="1" s="1"/>
  <c r="V4" i="3"/>
  <c r="D15" i="1" s="1"/>
  <c r="V5" i="3"/>
  <c r="E15" i="1" s="1"/>
  <c r="V6" i="3"/>
  <c r="F15" i="1" s="1"/>
  <c r="V7" i="3"/>
  <c r="G15" i="1" s="1"/>
  <c r="V8" i="3"/>
  <c r="H15" i="1" s="1"/>
  <c r="V9" i="3"/>
  <c r="I15" i="1" s="1"/>
  <c r="V10" i="3"/>
  <c r="J15" i="1" s="1"/>
  <c r="V11" i="3"/>
  <c r="K15" i="1" s="1"/>
  <c r="V12" i="3"/>
  <c r="L15" i="1" s="1"/>
  <c r="V13" i="3"/>
  <c r="M15" i="1" s="1"/>
  <c r="V14" i="3"/>
  <c r="N15" i="1" s="1"/>
  <c r="V15" i="3"/>
  <c r="O15" i="1" s="1"/>
  <c r="V16" i="3"/>
  <c r="P15" i="1" s="1"/>
  <c r="U5" i="3"/>
  <c r="E14" i="1" s="1"/>
  <c r="U6" i="3"/>
  <c r="F14" i="1" s="1"/>
  <c r="U7" i="3"/>
  <c r="G14" i="1" s="1"/>
  <c r="U8" i="3"/>
  <c r="H14" i="1" s="1"/>
  <c r="U9" i="3"/>
  <c r="I14" i="1" s="1"/>
  <c r="U10" i="3"/>
  <c r="J14" i="1" s="1"/>
  <c r="U11" i="3"/>
  <c r="K14" i="1" s="1"/>
  <c r="U12" i="3"/>
  <c r="L14" i="1" s="1"/>
  <c r="U13" i="3"/>
  <c r="M14" i="1" s="1"/>
  <c r="U14" i="3"/>
  <c r="N14" i="1" s="1"/>
  <c r="U15" i="3"/>
  <c r="O14" i="1" s="1"/>
  <c r="U16" i="3"/>
  <c r="P14" i="1" s="1"/>
  <c r="U4" i="3"/>
  <c r="D14" i="1" s="1"/>
  <c r="T16" i="3"/>
  <c r="P12" i="1" s="1"/>
  <c r="T15" i="3"/>
  <c r="O12" i="1" s="1"/>
  <c r="T4" i="3"/>
  <c r="D12" i="1" s="1"/>
  <c r="T5" i="3"/>
  <c r="E12" i="1" s="1"/>
  <c r="T6" i="3"/>
  <c r="F12" i="1" s="1"/>
  <c r="T7" i="3"/>
  <c r="G12" i="1" s="1"/>
  <c r="T8" i="3"/>
  <c r="H12" i="1" s="1"/>
  <c r="T9" i="3"/>
  <c r="I12" i="1" s="1"/>
  <c r="T10" i="3"/>
  <c r="J12" i="1" s="1"/>
  <c r="T11" i="3"/>
  <c r="K12" i="1" s="1"/>
  <c r="T12" i="3"/>
  <c r="L12" i="1" s="1"/>
  <c r="T13" i="3"/>
  <c r="M12" i="1" s="1"/>
  <c r="T14" i="3"/>
  <c r="N12" i="1" s="1"/>
  <c r="S5" i="3"/>
  <c r="E10" i="1" s="1"/>
  <c r="S6" i="3"/>
  <c r="F10" i="1" s="1"/>
  <c r="S7" i="3"/>
  <c r="G10" i="1" s="1"/>
  <c r="S8" i="3"/>
  <c r="H10" i="1" s="1"/>
  <c r="S9" i="3"/>
  <c r="I10" i="1" s="1"/>
  <c r="S10" i="3"/>
  <c r="J10" i="1" s="1"/>
  <c r="S11" i="3"/>
  <c r="K10" i="1" s="1"/>
  <c r="S12" i="3"/>
  <c r="L10" i="1" s="1"/>
  <c r="S13" i="3"/>
  <c r="M10" i="1" s="1"/>
  <c r="S14" i="3"/>
  <c r="N10" i="1" s="1"/>
  <c r="S15" i="3"/>
  <c r="O10" i="1" s="1"/>
  <c r="S16" i="3"/>
  <c r="P10" i="1" s="1"/>
  <c r="S4" i="3"/>
  <c r="D10" i="1" s="1"/>
  <c r="R5" i="3"/>
  <c r="E9" i="1" s="1"/>
  <c r="R6" i="3"/>
  <c r="F9" i="1" s="1"/>
  <c r="R7" i="3"/>
  <c r="G9" i="1" s="1"/>
  <c r="R8" i="3"/>
  <c r="H9" i="1" s="1"/>
  <c r="R9" i="3"/>
  <c r="I9" i="1" s="1"/>
  <c r="R10" i="3"/>
  <c r="J9" i="1" s="1"/>
  <c r="R11" i="3"/>
  <c r="K9" i="1" s="1"/>
  <c r="R12" i="3"/>
  <c r="L9" i="1" s="1"/>
  <c r="R13" i="3"/>
  <c r="M9" i="1" s="1"/>
  <c r="R14" i="3"/>
  <c r="N9" i="1" s="1"/>
  <c r="R15" i="3"/>
  <c r="O9" i="1" s="1"/>
  <c r="R16" i="3"/>
  <c r="P9" i="1" s="1"/>
  <c r="R4" i="3"/>
  <c r="D9" i="1" s="1"/>
  <c r="Q16" i="3"/>
  <c r="P8" i="1" s="1"/>
  <c r="Q5" i="3"/>
  <c r="E8" i="1" s="1"/>
  <c r="Q6" i="3"/>
  <c r="F8" i="1" s="1"/>
  <c r="Q7" i="3"/>
  <c r="G8" i="1" s="1"/>
  <c r="Q8" i="3"/>
  <c r="H8" i="1" s="1"/>
  <c r="Q9" i="3"/>
  <c r="I8" i="1" s="1"/>
  <c r="Q10" i="3"/>
  <c r="J8" i="1" s="1"/>
  <c r="Q11" i="3"/>
  <c r="K8" i="1" s="1"/>
  <c r="Q12" i="3"/>
  <c r="L8" i="1" s="1"/>
  <c r="Q13" i="3"/>
  <c r="M8" i="1" s="1"/>
  <c r="Q14" i="3"/>
  <c r="N8" i="1" s="1"/>
  <c r="Q15" i="3"/>
  <c r="O8" i="1" s="1"/>
  <c r="BQ143" i="7"/>
  <c r="I255" i="1" s="1"/>
  <c r="CF144" i="6"/>
  <c r="I143" i="1" s="1"/>
  <c r="AH143" i="6"/>
  <c r="I127" i="1" s="1"/>
  <c r="F12" i="4"/>
  <c r="AI143" i="6"/>
  <c r="J127" i="1" s="1"/>
  <c r="AJ143" i="6"/>
  <c r="K127" i="1" s="1"/>
  <c r="AK143" i="6"/>
  <c r="L127" i="1" s="1"/>
  <c r="AL143" i="6"/>
  <c r="M127" i="1" s="1"/>
  <c r="AM143" i="6"/>
  <c r="N127" i="1" s="1"/>
  <c r="AN143" i="6"/>
  <c r="O127" i="1" s="1"/>
  <c r="AO143" i="6"/>
  <c r="P127" i="1" s="1"/>
  <c r="AG143" i="6"/>
  <c r="H127" i="1" s="1"/>
  <c r="AY434" i="4"/>
  <c r="AY435" i="4"/>
  <c r="AY436" i="4"/>
  <c r="AY437" i="4"/>
  <c r="AY438" i="4"/>
  <c r="AY439" i="4"/>
  <c r="AY440" i="4"/>
  <c r="AY441" i="4"/>
  <c r="AY442" i="4"/>
  <c r="AY443" i="4"/>
  <c r="AY444" i="4"/>
  <c r="AY445" i="4"/>
  <c r="AY446" i="4"/>
  <c r="AY447" i="4"/>
  <c r="AY448" i="4"/>
  <c r="AY449" i="4"/>
  <c r="AY450" i="4"/>
  <c r="AY451" i="4"/>
  <c r="AY452" i="4"/>
  <c r="AY453" i="4"/>
  <c r="AY454" i="4"/>
  <c r="AY455" i="4"/>
  <c r="AY456" i="4"/>
  <c r="AY457" i="4"/>
  <c r="AY458" i="4"/>
  <c r="AY459" i="4"/>
  <c r="AY460" i="4"/>
  <c r="AY461" i="4"/>
  <c r="AY462" i="4"/>
  <c r="AY463" i="4"/>
  <c r="AY464" i="4"/>
  <c r="AY465" i="4"/>
  <c r="AY466" i="4"/>
  <c r="AY467" i="4"/>
  <c r="AY468" i="4"/>
  <c r="AY469" i="4"/>
  <c r="AY470" i="4"/>
  <c r="AY471" i="4"/>
  <c r="AY472" i="4"/>
  <c r="AY473" i="4"/>
  <c r="AY474" i="4"/>
  <c r="AY475" i="4"/>
  <c r="AY476" i="4"/>
  <c r="AY477" i="4"/>
  <c r="AY478" i="4"/>
  <c r="AY479" i="4"/>
  <c r="AY480" i="4"/>
  <c r="AY481" i="4"/>
  <c r="AY482" i="4"/>
  <c r="AY483" i="4"/>
  <c r="AY484" i="4"/>
  <c r="AY485" i="4"/>
  <c r="AY486" i="4"/>
  <c r="AY487" i="4"/>
  <c r="AY488" i="4"/>
  <c r="AY489" i="4"/>
  <c r="AY490" i="4"/>
  <c r="AY491" i="4"/>
  <c r="AY492" i="4"/>
  <c r="AY493" i="4"/>
  <c r="AY494" i="4"/>
  <c r="AY495" i="4"/>
  <c r="AY496" i="4"/>
  <c r="AY497" i="4"/>
  <c r="AY498" i="4"/>
  <c r="AY499" i="4"/>
  <c r="AY500" i="4"/>
  <c r="AY501" i="4"/>
  <c r="AY502" i="4"/>
  <c r="AY503" i="4"/>
  <c r="AY504" i="4"/>
  <c r="AY505" i="4"/>
  <c r="AY506" i="4"/>
  <c r="AY507" i="4"/>
  <c r="AY508" i="4"/>
  <c r="AY509" i="4"/>
  <c r="AY510" i="4"/>
  <c r="AY511" i="4"/>
  <c r="AY512" i="4"/>
  <c r="AY513" i="4"/>
  <c r="AY514" i="4"/>
  <c r="AY515" i="4"/>
  <c r="AY516" i="4"/>
  <c r="AY517" i="4"/>
  <c r="AY518" i="4"/>
  <c r="AY519" i="4"/>
  <c r="AY520" i="4"/>
  <c r="AY521" i="4"/>
  <c r="AY522" i="4"/>
  <c r="AY523" i="4"/>
  <c r="AY524" i="4"/>
  <c r="AY525" i="4"/>
  <c r="AY526" i="4"/>
  <c r="AY527" i="4"/>
  <c r="AY528" i="4"/>
  <c r="AY529" i="4"/>
  <c r="AY530" i="4"/>
  <c r="AY531" i="4"/>
  <c r="AY532" i="4"/>
  <c r="AY533" i="4"/>
  <c r="AY534" i="4"/>
  <c r="AY535" i="4"/>
  <c r="AY536" i="4"/>
  <c r="AY537" i="4"/>
  <c r="AY538" i="4"/>
  <c r="AY539" i="4"/>
  <c r="AY540" i="4"/>
  <c r="AY541" i="4"/>
  <c r="AY542" i="4"/>
  <c r="AY543" i="4"/>
  <c r="AY544" i="4"/>
  <c r="AY545" i="4"/>
  <c r="AY546" i="4"/>
  <c r="AY547" i="4"/>
  <c r="AY548" i="4"/>
  <c r="AY549" i="4"/>
  <c r="AY550" i="4"/>
  <c r="AY551" i="4"/>
  <c r="AY552" i="4"/>
  <c r="AY553" i="4"/>
  <c r="AY554" i="4"/>
  <c r="AY555" i="4"/>
  <c r="AY556" i="4"/>
  <c r="AY557" i="4"/>
  <c r="AX434" i="4"/>
  <c r="AX435" i="4"/>
  <c r="AX436" i="4"/>
  <c r="AX437" i="4"/>
  <c r="AX438" i="4"/>
  <c r="AX439" i="4"/>
  <c r="AX440" i="4"/>
  <c r="AX441" i="4"/>
  <c r="AX442" i="4"/>
  <c r="AX443" i="4"/>
  <c r="AX444" i="4"/>
  <c r="AX445" i="4"/>
  <c r="AX446" i="4"/>
  <c r="AX447" i="4"/>
  <c r="AX448" i="4"/>
  <c r="AX449" i="4"/>
  <c r="AX450" i="4"/>
  <c r="AX451" i="4"/>
  <c r="AX452" i="4"/>
  <c r="AX453" i="4"/>
  <c r="AX454" i="4"/>
  <c r="AX455" i="4"/>
  <c r="AX456" i="4"/>
  <c r="AX457" i="4"/>
  <c r="AX458" i="4"/>
  <c r="AX459" i="4"/>
  <c r="AX460" i="4"/>
  <c r="AX461" i="4"/>
  <c r="AX462" i="4"/>
  <c r="AX463" i="4"/>
  <c r="AX464" i="4"/>
  <c r="AX465" i="4"/>
  <c r="AX466" i="4"/>
  <c r="AX467" i="4"/>
  <c r="AX468" i="4"/>
  <c r="AX469" i="4"/>
  <c r="AX470" i="4"/>
  <c r="AX471" i="4"/>
  <c r="AX472" i="4"/>
  <c r="AX473" i="4"/>
  <c r="AX474" i="4"/>
  <c r="AX475" i="4"/>
  <c r="AX476" i="4"/>
  <c r="AX477" i="4"/>
  <c r="AX478" i="4"/>
  <c r="AX479" i="4"/>
  <c r="AX480" i="4"/>
  <c r="AX481" i="4"/>
  <c r="AX482" i="4"/>
  <c r="AX483" i="4"/>
  <c r="AX484" i="4"/>
  <c r="AX485" i="4"/>
  <c r="AX486" i="4"/>
  <c r="AX487" i="4"/>
  <c r="AX488" i="4"/>
  <c r="AX489" i="4"/>
  <c r="AX490" i="4"/>
  <c r="AX491" i="4"/>
  <c r="AX492" i="4"/>
  <c r="AX493" i="4"/>
  <c r="AX494" i="4"/>
  <c r="AX495" i="4"/>
  <c r="AX496" i="4"/>
  <c r="AX497" i="4"/>
  <c r="AX498" i="4"/>
  <c r="AX499" i="4"/>
  <c r="AX500" i="4"/>
  <c r="AX501" i="4"/>
  <c r="AX502" i="4"/>
  <c r="AX503" i="4"/>
  <c r="AX504" i="4"/>
  <c r="AX505" i="4"/>
  <c r="AX506" i="4"/>
  <c r="AX507" i="4"/>
  <c r="AX508" i="4"/>
  <c r="AX509" i="4"/>
  <c r="AX510" i="4"/>
  <c r="AX511" i="4"/>
  <c r="AX512" i="4"/>
  <c r="AX513" i="4"/>
  <c r="AX514" i="4"/>
  <c r="AX515" i="4"/>
  <c r="AX516" i="4"/>
  <c r="AX517" i="4"/>
  <c r="AX518" i="4"/>
  <c r="AX519" i="4"/>
  <c r="AX520" i="4"/>
  <c r="AX521" i="4"/>
  <c r="AX522" i="4"/>
  <c r="AX523" i="4"/>
  <c r="AX524" i="4"/>
  <c r="AX525" i="4"/>
  <c r="AX526" i="4"/>
  <c r="AX527" i="4"/>
  <c r="AX528" i="4"/>
  <c r="AX529" i="4"/>
  <c r="AX530" i="4"/>
  <c r="AX531" i="4"/>
  <c r="AX532" i="4"/>
  <c r="AX533" i="4"/>
  <c r="AX534" i="4"/>
  <c r="AX535" i="4"/>
  <c r="AX536" i="4"/>
  <c r="AX537" i="4"/>
  <c r="AX538" i="4"/>
  <c r="AX539" i="4"/>
  <c r="AX540" i="4"/>
  <c r="AX541" i="4"/>
  <c r="AX542" i="4"/>
  <c r="AX543" i="4"/>
  <c r="AX544" i="4"/>
  <c r="AX545" i="4"/>
  <c r="AX546" i="4"/>
  <c r="AX547" i="4"/>
  <c r="AX548" i="4"/>
  <c r="AX549" i="4"/>
  <c r="AX550" i="4"/>
  <c r="AX551" i="4"/>
  <c r="AX552" i="4"/>
  <c r="AX553" i="4"/>
  <c r="AX554" i="4"/>
  <c r="AX555" i="4"/>
  <c r="AX556" i="4"/>
  <c r="AX557" i="4"/>
  <c r="AW434" i="4"/>
  <c r="AW435" i="4"/>
  <c r="AW436" i="4"/>
  <c r="AW437" i="4"/>
  <c r="AW438" i="4"/>
  <c r="AW439" i="4"/>
  <c r="AW440" i="4"/>
  <c r="AW441" i="4"/>
  <c r="AW442" i="4"/>
  <c r="AW443" i="4"/>
  <c r="AW444" i="4"/>
  <c r="AW445" i="4"/>
  <c r="AW446" i="4"/>
  <c r="AW447" i="4"/>
  <c r="AW448" i="4"/>
  <c r="AW449" i="4"/>
  <c r="AW450" i="4"/>
  <c r="AW451" i="4"/>
  <c r="AW452" i="4"/>
  <c r="AW453" i="4"/>
  <c r="AW454" i="4"/>
  <c r="AW455" i="4"/>
  <c r="AW456" i="4"/>
  <c r="AW457" i="4"/>
  <c r="AW458" i="4"/>
  <c r="AW459" i="4"/>
  <c r="AW460" i="4"/>
  <c r="AW461" i="4"/>
  <c r="AW462" i="4"/>
  <c r="AW463" i="4"/>
  <c r="AW464" i="4"/>
  <c r="AW465" i="4"/>
  <c r="AW466" i="4"/>
  <c r="AW467" i="4"/>
  <c r="AW468" i="4"/>
  <c r="AW469" i="4"/>
  <c r="AW470" i="4"/>
  <c r="AW471" i="4"/>
  <c r="AW472" i="4"/>
  <c r="AW473" i="4"/>
  <c r="AW474" i="4"/>
  <c r="AW475" i="4"/>
  <c r="AW476" i="4"/>
  <c r="AW477" i="4"/>
  <c r="AW478" i="4"/>
  <c r="AW479" i="4"/>
  <c r="AW480" i="4"/>
  <c r="AW481" i="4"/>
  <c r="AW482" i="4"/>
  <c r="AW483" i="4"/>
  <c r="AW484" i="4"/>
  <c r="AW485" i="4"/>
  <c r="AW486" i="4"/>
  <c r="AW487" i="4"/>
  <c r="AW488" i="4"/>
  <c r="AW489" i="4"/>
  <c r="AW490" i="4"/>
  <c r="AW491" i="4"/>
  <c r="AW492" i="4"/>
  <c r="AW493" i="4"/>
  <c r="AW494" i="4"/>
  <c r="AW495" i="4"/>
  <c r="AW496" i="4"/>
  <c r="AW497" i="4"/>
  <c r="AW498" i="4"/>
  <c r="AW499" i="4"/>
  <c r="AW500" i="4"/>
  <c r="AW501" i="4"/>
  <c r="AW502" i="4"/>
  <c r="AW503" i="4"/>
  <c r="AW504" i="4"/>
  <c r="AW505" i="4"/>
  <c r="AW506" i="4"/>
  <c r="AW507" i="4"/>
  <c r="AW508" i="4"/>
  <c r="AW509" i="4"/>
  <c r="AW510" i="4"/>
  <c r="AW511" i="4"/>
  <c r="AW512" i="4"/>
  <c r="AW513" i="4"/>
  <c r="AW514" i="4"/>
  <c r="AW515" i="4"/>
  <c r="AW516" i="4"/>
  <c r="AW517" i="4"/>
  <c r="AW518" i="4"/>
  <c r="AW519" i="4"/>
  <c r="AW520" i="4"/>
  <c r="AW521" i="4"/>
  <c r="AW522" i="4"/>
  <c r="AW523" i="4"/>
  <c r="AW524" i="4"/>
  <c r="AW525" i="4"/>
  <c r="AW526" i="4"/>
  <c r="AW527" i="4"/>
  <c r="AW528" i="4"/>
  <c r="AW529" i="4"/>
  <c r="AW530" i="4"/>
  <c r="AW531" i="4"/>
  <c r="AW532" i="4"/>
  <c r="AW533" i="4"/>
  <c r="AW534" i="4"/>
  <c r="AW535" i="4"/>
  <c r="AW536" i="4"/>
  <c r="AW537" i="4"/>
  <c r="AW538" i="4"/>
  <c r="AW539" i="4"/>
  <c r="AW540" i="4"/>
  <c r="AW541" i="4"/>
  <c r="AW542" i="4"/>
  <c r="AW543" i="4"/>
  <c r="AW544" i="4"/>
  <c r="AW545" i="4"/>
  <c r="AW546" i="4"/>
  <c r="AW547" i="4"/>
  <c r="AW548" i="4"/>
  <c r="AW549" i="4"/>
  <c r="AW550" i="4"/>
  <c r="AW551" i="4"/>
  <c r="AW552" i="4"/>
  <c r="AW553" i="4"/>
  <c r="AW554" i="4"/>
  <c r="AW555" i="4"/>
  <c r="AW556" i="4"/>
  <c r="AW557" i="4"/>
  <c r="AV434" i="4"/>
  <c r="AV435" i="4"/>
  <c r="AV436" i="4"/>
  <c r="AV437" i="4"/>
  <c r="AV438" i="4"/>
  <c r="AV439" i="4"/>
  <c r="AV440" i="4"/>
  <c r="AV441" i="4"/>
  <c r="AV442" i="4"/>
  <c r="AV443" i="4"/>
  <c r="AV444" i="4"/>
  <c r="AV445" i="4"/>
  <c r="AV446" i="4"/>
  <c r="AV447" i="4"/>
  <c r="AV448" i="4"/>
  <c r="AV449" i="4"/>
  <c r="AV450" i="4"/>
  <c r="AV451" i="4"/>
  <c r="AV452" i="4"/>
  <c r="AV453" i="4"/>
  <c r="AV454" i="4"/>
  <c r="AV455" i="4"/>
  <c r="AV456" i="4"/>
  <c r="AV457" i="4"/>
  <c r="AV458" i="4"/>
  <c r="AV459" i="4"/>
  <c r="AV460" i="4"/>
  <c r="AV461" i="4"/>
  <c r="AV462" i="4"/>
  <c r="AV463" i="4"/>
  <c r="AV464" i="4"/>
  <c r="AV465" i="4"/>
  <c r="AV466" i="4"/>
  <c r="AV467" i="4"/>
  <c r="AV468" i="4"/>
  <c r="AV469" i="4"/>
  <c r="AV470" i="4"/>
  <c r="AV471" i="4"/>
  <c r="AV472" i="4"/>
  <c r="AV473" i="4"/>
  <c r="AV474" i="4"/>
  <c r="AV475" i="4"/>
  <c r="AV476" i="4"/>
  <c r="AV477" i="4"/>
  <c r="AV478" i="4"/>
  <c r="AV479" i="4"/>
  <c r="AV480" i="4"/>
  <c r="AV481" i="4"/>
  <c r="AV482" i="4"/>
  <c r="AV483" i="4"/>
  <c r="AV484" i="4"/>
  <c r="AV485" i="4"/>
  <c r="AV486" i="4"/>
  <c r="AV487" i="4"/>
  <c r="AV488" i="4"/>
  <c r="AV489" i="4"/>
  <c r="AV490" i="4"/>
  <c r="AV491" i="4"/>
  <c r="AV492" i="4"/>
  <c r="AV493" i="4"/>
  <c r="AV494" i="4"/>
  <c r="AV495" i="4"/>
  <c r="AV496" i="4"/>
  <c r="AV497" i="4"/>
  <c r="AV498" i="4"/>
  <c r="AV499" i="4"/>
  <c r="AV500" i="4"/>
  <c r="AV501" i="4"/>
  <c r="AV502" i="4"/>
  <c r="AV503" i="4"/>
  <c r="AV504" i="4"/>
  <c r="AV505" i="4"/>
  <c r="AV506" i="4"/>
  <c r="AV507" i="4"/>
  <c r="AV508" i="4"/>
  <c r="AV509" i="4"/>
  <c r="AV510" i="4"/>
  <c r="AV511" i="4"/>
  <c r="AV512" i="4"/>
  <c r="AV513" i="4"/>
  <c r="AV514" i="4"/>
  <c r="AV515" i="4"/>
  <c r="AV516" i="4"/>
  <c r="AV517" i="4"/>
  <c r="AV518" i="4"/>
  <c r="AV519" i="4"/>
  <c r="AV520" i="4"/>
  <c r="AV521" i="4"/>
  <c r="AV522" i="4"/>
  <c r="AV523" i="4"/>
  <c r="AV524" i="4"/>
  <c r="AV525" i="4"/>
  <c r="AV526" i="4"/>
  <c r="AV527" i="4"/>
  <c r="AV528" i="4"/>
  <c r="AV529" i="4"/>
  <c r="AV530" i="4"/>
  <c r="AV531" i="4"/>
  <c r="AV532" i="4"/>
  <c r="AV533" i="4"/>
  <c r="AV534" i="4"/>
  <c r="AV535" i="4"/>
  <c r="AV536" i="4"/>
  <c r="AV537" i="4"/>
  <c r="AV538" i="4"/>
  <c r="AV539" i="4"/>
  <c r="AV540" i="4"/>
  <c r="AV541" i="4"/>
  <c r="AV542" i="4"/>
  <c r="AV543" i="4"/>
  <c r="AV544" i="4"/>
  <c r="AV545" i="4"/>
  <c r="AV546" i="4"/>
  <c r="AV547" i="4"/>
  <c r="AV548" i="4"/>
  <c r="AV549" i="4"/>
  <c r="AV550" i="4"/>
  <c r="AV551" i="4"/>
  <c r="AV552" i="4"/>
  <c r="AV553" i="4"/>
  <c r="AV554" i="4"/>
  <c r="AV555" i="4"/>
  <c r="AV556" i="4"/>
  <c r="AV557" i="4"/>
  <c r="AU434" i="4"/>
  <c r="AU435" i="4"/>
  <c r="AU436" i="4"/>
  <c r="AU437" i="4"/>
  <c r="AU438" i="4"/>
  <c r="AU439" i="4"/>
  <c r="AU440" i="4"/>
  <c r="AU441" i="4"/>
  <c r="AU442" i="4"/>
  <c r="AU443" i="4"/>
  <c r="AU444" i="4"/>
  <c r="AU445" i="4"/>
  <c r="AU446" i="4"/>
  <c r="AU447" i="4"/>
  <c r="AU448" i="4"/>
  <c r="AU449" i="4"/>
  <c r="AU450" i="4"/>
  <c r="AU451" i="4"/>
  <c r="AU452" i="4"/>
  <c r="AU453" i="4"/>
  <c r="AU454" i="4"/>
  <c r="AU455" i="4"/>
  <c r="AU456" i="4"/>
  <c r="AU457" i="4"/>
  <c r="AU458" i="4"/>
  <c r="AU459" i="4"/>
  <c r="AU460" i="4"/>
  <c r="AU461" i="4"/>
  <c r="AU462" i="4"/>
  <c r="AU463" i="4"/>
  <c r="AU464" i="4"/>
  <c r="AU465" i="4"/>
  <c r="AU466" i="4"/>
  <c r="AU467" i="4"/>
  <c r="AU468" i="4"/>
  <c r="AU469" i="4"/>
  <c r="AU470" i="4"/>
  <c r="AU471" i="4"/>
  <c r="AU472" i="4"/>
  <c r="AU473" i="4"/>
  <c r="AU474" i="4"/>
  <c r="AU475" i="4"/>
  <c r="AU476" i="4"/>
  <c r="AU477" i="4"/>
  <c r="AU478" i="4"/>
  <c r="AU479" i="4"/>
  <c r="AU480" i="4"/>
  <c r="AU481" i="4"/>
  <c r="AU482" i="4"/>
  <c r="AU483" i="4"/>
  <c r="AU484" i="4"/>
  <c r="AU485" i="4"/>
  <c r="AU486" i="4"/>
  <c r="AU487" i="4"/>
  <c r="AU488" i="4"/>
  <c r="AU489" i="4"/>
  <c r="AU490" i="4"/>
  <c r="AU491" i="4"/>
  <c r="AU492" i="4"/>
  <c r="AU493" i="4"/>
  <c r="AU494" i="4"/>
  <c r="AU495" i="4"/>
  <c r="AU496" i="4"/>
  <c r="AU497" i="4"/>
  <c r="AU498" i="4"/>
  <c r="AU499" i="4"/>
  <c r="AU500" i="4"/>
  <c r="AU501" i="4"/>
  <c r="AU502" i="4"/>
  <c r="AU503" i="4"/>
  <c r="AU504" i="4"/>
  <c r="AU505" i="4"/>
  <c r="AU506" i="4"/>
  <c r="AU507" i="4"/>
  <c r="AU508" i="4"/>
  <c r="AU509" i="4"/>
  <c r="AU510" i="4"/>
  <c r="AU511" i="4"/>
  <c r="AU512" i="4"/>
  <c r="AU513" i="4"/>
  <c r="AU514" i="4"/>
  <c r="AU515" i="4"/>
  <c r="AU516" i="4"/>
  <c r="AU517" i="4"/>
  <c r="AU518" i="4"/>
  <c r="AU519" i="4"/>
  <c r="AU520" i="4"/>
  <c r="AU521" i="4"/>
  <c r="AU522" i="4"/>
  <c r="AU523" i="4"/>
  <c r="AU524" i="4"/>
  <c r="AU525" i="4"/>
  <c r="AU526" i="4"/>
  <c r="AU527" i="4"/>
  <c r="AU528" i="4"/>
  <c r="AU529" i="4"/>
  <c r="AU530" i="4"/>
  <c r="AU531" i="4"/>
  <c r="AU532" i="4"/>
  <c r="AU533" i="4"/>
  <c r="AU534" i="4"/>
  <c r="AU535" i="4"/>
  <c r="AU536" i="4"/>
  <c r="AU537" i="4"/>
  <c r="AU538" i="4"/>
  <c r="AU539" i="4"/>
  <c r="AU540" i="4"/>
  <c r="AU541" i="4"/>
  <c r="AU542" i="4"/>
  <c r="AU543" i="4"/>
  <c r="AU544" i="4"/>
  <c r="AU545" i="4"/>
  <c r="AU546" i="4"/>
  <c r="AU547" i="4"/>
  <c r="AU548" i="4"/>
  <c r="AU549" i="4"/>
  <c r="AU550" i="4"/>
  <c r="AU551" i="4"/>
  <c r="AU552" i="4"/>
  <c r="AU553" i="4"/>
  <c r="AU554" i="4"/>
  <c r="AU555" i="4"/>
  <c r="AU556" i="4"/>
  <c r="AU557"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R433"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Y433" i="4"/>
  <c r="AX433" i="4"/>
  <c r="AW433" i="4"/>
  <c r="AV433" i="4"/>
  <c r="AU433" i="4"/>
  <c r="AT433" i="4"/>
  <c r="AS433" i="4"/>
  <c r="AY293" i="4"/>
  <c r="AY294" i="4"/>
  <c r="AY295" i="4"/>
  <c r="AY296" i="4"/>
  <c r="AY297" i="4"/>
  <c r="AY298" i="4"/>
  <c r="AY299" i="4"/>
  <c r="AY300" i="4"/>
  <c r="AY301" i="4"/>
  <c r="AY302" i="4"/>
  <c r="AY303" i="4"/>
  <c r="AY304" i="4"/>
  <c r="AY305" i="4"/>
  <c r="AY306" i="4"/>
  <c r="AY307" i="4"/>
  <c r="AY308" i="4"/>
  <c r="AY309" i="4"/>
  <c r="AY310" i="4"/>
  <c r="AY311" i="4"/>
  <c r="AY312" i="4"/>
  <c r="AY313" i="4"/>
  <c r="AY314" i="4"/>
  <c r="AY315" i="4"/>
  <c r="AY316" i="4"/>
  <c r="AY317" i="4"/>
  <c r="AY318" i="4"/>
  <c r="AY319" i="4"/>
  <c r="AY320" i="4"/>
  <c r="AY321" i="4"/>
  <c r="AY322" i="4"/>
  <c r="AY323" i="4"/>
  <c r="AY324" i="4"/>
  <c r="AY325" i="4"/>
  <c r="AY326" i="4"/>
  <c r="AY327" i="4"/>
  <c r="AY328" i="4"/>
  <c r="AY329" i="4"/>
  <c r="AY330" i="4"/>
  <c r="AY331" i="4"/>
  <c r="AY332" i="4"/>
  <c r="AY333" i="4"/>
  <c r="AY334" i="4"/>
  <c r="AY335" i="4"/>
  <c r="AY336" i="4"/>
  <c r="AY337" i="4"/>
  <c r="AY338" i="4"/>
  <c r="AY339" i="4"/>
  <c r="AY340" i="4"/>
  <c r="AY341" i="4"/>
  <c r="AY342" i="4"/>
  <c r="AY343" i="4"/>
  <c r="AY344" i="4"/>
  <c r="AY345" i="4"/>
  <c r="AY346" i="4"/>
  <c r="AY347" i="4"/>
  <c r="AY348" i="4"/>
  <c r="AY349" i="4"/>
  <c r="AY350" i="4"/>
  <c r="AY351" i="4"/>
  <c r="AY352" i="4"/>
  <c r="AY353" i="4"/>
  <c r="AY354" i="4"/>
  <c r="AY355" i="4"/>
  <c r="AY356" i="4"/>
  <c r="AY357" i="4"/>
  <c r="AY358" i="4"/>
  <c r="AY359" i="4"/>
  <c r="AY360" i="4"/>
  <c r="AY361" i="4"/>
  <c r="AY362" i="4"/>
  <c r="AY363" i="4"/>
  <c r="AY364" i="4"/>
  <c r="AY365" i="4"/>
  <c r="AY366" i="4"/>
  <c r="AY367" i="4"/>
  <c r="AY368" i="4"/>
  <c r="AY369" i="4"/>
  <c r="AY370" i="4"/>
  <c r="AY371" i="4"/>
  <c r="AY372" i="4"/>
  <c r="AY373" i="4"/>
  <c r="AY374" i="4"/>
  <c r="AY375" i="4"/>
  <c r="AY376" i="4"/>
  <c r="AY377" i="4"/>
  <c r="AY378" i="4"/>
  <c r="AY379" i="4"/>
  <c r="AY380" i="4"/>
  <c r="AY381" i="4"/>
  <c r="AY382" i="4"/>
  <c r="AY383" i="4"/>
  <c r="AY384" i="4"/>
  <c r="AY385" i="4"/>
  <c r="AY386" i="4"/>
  <c r="AY387" i="4"/>
  <c r="AY388" i="4"/>
  <c r="AY389" i="4"/>
  <c r="AY390" i="4"/>
  <c r="AY391" i="4"/>
  <c r="AY392" i="4"/>
  <c r="AY393" i="4"/>
  <c r="AY394" i="4"/>
  <c r="AY395" i="4"/>
  <c r="AY396" i="4"/>
  <c r="AY397" i="4"/>
  <c r="AY398" i="4"/>
  <c r="AY399" i="4"/>
  <c r="AY400" i="4"/>
  <c r="AY401" i="4"/>
  <c r="AY402" i="4"/>
  <c r="AY403" i="4"/>
  <c r="AY404" i="4"/>
  <c r="AY405" i="4"/>
  <c r="AY406" i="4"/>
  <c r="AY407" i="4"/>
  <c r="AY408" i="4"/>
  <c r="AY409" i="4"/>
  <c r="AY410" i="4"/>
  <c r="AY411" i="4"/>
  <c r="AY412" i="4"/>
  <c r="AY413" i="4"/>
  <c r="AY414" i="4"/>
  <c r="AY415" i="4"/>
  <c r="AY416" i="4"/>
  <c r="AX293" i="4"/>
  <c r="AX294" i="4"/>
  <c r="AX295" i="4"/>
  <c r="AX296" i="4"/>
  <c r="AX297" i="4"/>
  <c r="AX298" i="4"/>
  <c r="AX299" i="4"/>
  <c r="AX300" i="4"/>
  <c r="AX301" i="4"/>
  <c r="AX302" i="4"/>
  <c r="AX303" i="4"/>
  <c r="AX304" i="4"/>
  <c r="AX305" i="4"/>
  <c r="AX306" i="4"/>
  <c r="AX307" i="4"/>
  <c r="AX308" i="4"/>
  <c r="AX309" i="4"/>
  <c r="AX310" i="4"/>
  <c r="AX311" i="4"/>
  <c r="AX312" i="4"/>
  <c r="AX313" i="4"/>
  <c r="AX314" i="4"/>
  <c r="AX315" i="4"/>
  <c r="AX316" i="4"/>
  <c r="AX317" i="4"/>
  <c r="AX318" i="4"/>
  <c r="AX319" i="4"/>
  <c r="AX320" i="4"/>
  <c r="AX321" i="4"/>
  <c r="AX322" i="4"/>
  <c r="AX323" i="4"/>
  <c r="AX324" i="4"/>
  <c r="AX325" i="4"/>
  <c r="AX326" i="4"/>
  <c r="AX327" i="4"/>
  <c r="AX328" i="4"/>
  <c r="AX329" i="4"/>
  <c r="AX330" i="4"/>
  <c r="AX331" i="4"/>
  <c r="AX332" i="4"/>
  <c r="AX333" i="4"/>
  <c r="AX334" i="4"/>
  <c r="AX335" i="4"/>
  <c r="AX336" i="4"/>
  <c r="AX337" i="4"/>
  <c r="AX338" i="4"/>
  <c r="AX339" i="4"/>
  <c r="AX340" i="4"/>
  <c r="AX341" i="4"/>
  <c r="AX342" i="4"/>
  <c r="AX343" i="4"/>
  <c r="AX344" i="4"/>
  <c r="AX345" i="4"/>
  <c r="AX346" i="4"/>
  <c r="AX347" i="4"/>
  <c r="AX348" i="4"/>
  <c r="AX349" i="4"/>
  <c r="AX350" i="4"/>
  <c r="AX351" i="4"/>
  <c r="AX352" i="4"/>
  <c r="AX353" i="4"/>
  <c r="AX354" i="4"/>
  <c r="AX355" i="4"/>
  <c r="AX356" i="4"/>
  <c r="AX357" i="4"/>
  <c r="AX358" i="4"/>
  <c r="AX359" i="4"/>
  <c r="AX360" i="4"/>
  <c r="AX361" i="4"/>
  <c r="AX362" i="4"/>
  <c r="AX363" i="4"/>
  <c r="AX364" i="4"/>
  <c r="AX365" i="4"/>
  <c r="AX366" i="4"/>
  <c r="AX367" i="4"/>
  <c r="AX368" i="4"/>
  <c r="AX369" i="4"/>
  <c r="AX370" i="4"/>
  <c r="AX371" i="4"/>
  <c r="AX372" i="4"/>
  <c r="AX373" i="4"/>
  <c r="AX374" i="4"/>
  <c r="AX375" i="4"/>
  <c r="AX376" i="4"/>
  <c r="AX377" i="4"/>
  <c r="AX378" i="4"/>
  <c r="AX379" i="4"/>
  <c r="AX380" i="4"/>
  <c r="AX381" i="4"/>
  <c r="AX382" i="4"/>
  <c r="AX383" i="4"/>
  <c r="AX384" i="4"/>
  <c r="AX385" i="4"/>
  <c r="AX386" i="4"/>
  <c r="AX387" i="4"/>
  <c r="AX388" i="4"/>
  <c r="AX389" i="4"/>
  <c r="AX390" i="4"/>
  <c r="AX391" i="4"/>
  <c r="AX392" i="4"/>
  <c r="AX393" i="4"/>
  <c r="AX394" i="4"/>
  <c r="AX395" i="4"/>
  <c r="AX396" i="4"/>
  <c r="AX397" i="4"/>
  <c r="AX398" i="4"/>
  <c r="AX399" i="4"/>
  <c r="AX400" i="4"/>
  <c r="AX401" i="4"/>
  <c r="AX402" i="4"/>
  <c r="AX403" i="4"/>
  <c r="AX404" i="4"/>
  <c r="AX405" i="4"/>
  <c r="AX406" i="4"/>
  <c r="AX407" i="4"/>
  <c r="AX408" i="4"/>
  <c r="AX409" i="4"/>
  <c r="AX410" i="4"/>
  <c r="AX411" i="4"/>
  <c r="AX412" i="4"/>
  <c r="AX413" i="4"/>
  <c r="AX414" i="4"/>
  <c r="AX415" i="4"/>
  <c r="AX416" i="4"/>
  <c r="AW293" i="4"/>
  <c r="AW294" i="4"/>
  <c r="AW295" i="4"/>
  <c r="AW296" i="4"/>
  <c r="AW297" i="4"/>
  <c r="AW298" i="4"/>
  <c r="AW299" i="4"/>
  <c r="AW300" i="4"/>
  <c r="AW301" i="4"/>
  <c r="AW302" i="4"/>
  <c r="AW303" i="4"/>
  <c r="AW304" i="4"/>
  <c r="AW305" i="4"/>
  <c r="AW306" i="4"/>
  <c r="AW307" i="4"/>
  <c r="AW308" i="4"/>
  <c r="AW309" i="4"/>
  <c r="AW310" i="4"/>
  <c r="AW311" i="4"/>
  <c r="AW312" i="4"/>
  <c r="AW313" i="4"/>
  <c r="AW314" i="4"/>
  <c r="AW315" i="4"/>
  <c r="AW316" i="4"/>
  <c r="AW317" i="4"/>
  <c r="AW318" i="4"/>
  <c r="AW319" i="4"/>
  <c r="AW320" i="4"/>
  <c r="AW321" i="4"/>
  <c r="AW322" i="4"/>
  <c r="AW323" i="4"/>
  <c r="AW324" i="4"/>
  <c r="AW325" i="4"/>
  <c r="AW326" i="4"/>
  <c r="AW327" i="4"/>
  <c r="AW328" i="4"/>
  <c r="AW329" i="4"/>
  <c r="AW330" i="4"/>
  <c r="AW331" i="4"/>
  <c r="AW332" i="4"/>
  <c r="AW333" i="4"/>
  <c r="AW334" i="4"/>
  <c r="AW335" i="4"/>
  <c r="AW336" i="4"/>
  <c r="AW337" i="4"/>
  <c r="AW338" i="4"/>
  <c r="AW339" i="4"/>
  <c r="AW340" i="4"/>
  <c r="AW341" i="4"/>
  <c r="AW342" i="4"/>
  <c r="AW343" i="4"/>
  <c r="AW344" i="4"/>
  <c r="AW345" i="4"/>
  <c r="AW346" i="4"/>
  <c r="AW347" i="4"/>
  <c r="AW348" i="4"/>
  <c r="AW349" i="4"/>
  <c r="AW350" i="4"/>
  <c r="AW351" i="4"/>
  <c r="AW352" i="4"/>
  <c r="AW353" i="4"/>
  <c r="AW354" i="4"/>
  <c r="AW355" i="4"/>
  <c r="AW356" i="4"/>
  <c r="AW357" i="4"/>
  <c r="AW358" i="4"/>
  <c r="AW359" i="4"/>
  <c r="AW360" i="4"/>
  <c r="AW361" i="4"/>
  <c r="AW362" i="4"/>
  <c r="AW363" i="4"/>
  <c r="AW364" i="4"/>
  <c r="AW365" i="4"/>
  <c r="AW366" i="4"/>
  <c r="AW367" i="4"/>
  <c r="AW368" i="4"/>
  <c r="AW369" i="4"/>
  <c r="AW370" i="4"/>
  <c r="AW371" i="4"/>
  <c r="AW372" i="4"/>
  <c r="AW373" i="4"/>
  <c r="AW374" i="4"/>
  <c r="AW375" i="4"/>
  <c r="AW376" i="4"/>
  <c r="AW377" i="4"/>
  <c r="AW378" i="4"/>
  <c r="AW379" i="4"/>
  <c r="AW380" i="4"/>
  <c r="AW381" i="4"/>
  <c r="AW382" i="4"/>
  <c r="AW383" i="4"/>
  <c r="AW384" i="4"/>
  <c r="AW385" i="4"/>
  <c r="AW386" i="4"/>
  <c r="AW387" i="4"/>
  <c r="AW388" i="4"/>
  <c r="AW389" i="4"/>
  <c r="AW390" i="4"/>
  <c r="AW391" i="4"/>
  <c r="AW392" i="4"/>
  <c r="AW393" i="4"/>
  <c r="AW394" i="4"/>
  <c r="AW395" i="4"/>
  <c r="AW396" i="4"/>
  <c r="AW397" i="4"/>
  <c r="AW398" i="4"/>
  <c r="AW399" i="4"/>
  <c r="AW400" i="4"/>
  <c r="AW401" i="4"/>
  <c r="AW402" i="4"/>
  <c r="AW403" i="4"/>
  <c r="AW404" i="4"/>
  <c r="AW405" i="4"/>
  <c r="AW406" i="4"/>
  <c r="AW407" i="4"/>
  <c r="AW408" i="4"/>
  <c r="AW409" i="4"/>
  <c r="AW410" i="4"/>
  <c r="AW411" i="4"/>
  <c r="AW412" i="4"/>
  <c r="AW413" i="4"/>
  <c r="AW414" i="4"/>
  <c r="AW415" i="4"/>
  <c r="AW416" i="4"/>
  <c r="AV293" i="4"/>
  <c r="AV294" i="4"/>
  <c r="AV295" i="4"/>
  <c r="AV296" i="4"/>
  <c r="AV297" i="4"/>
  <c r="AV298" i="4"/>
  <c r="AV299" i="4"/>
  <c r="AV300" i="4"/>
  <c r="AV301" i="4"/>
  <c r="AV302" i="4"/>
  <c r="AV303" i="4"/>
  <c r="AV304" i="4"/>
  <c r="AV305" i="4"/>
  <c r="AV306" i="4"/>
  <c r="AV307" i="4"/>
  <c r="AV308" i="4"/>
  <c r="AV309" i="4"/>
  <c r="AV310" i="4"/>
  <c r="AV311" i="4"/>
  <c r="AV312" i="4"/>
  <c r="AV313" i="4"/>
  <c r="AV314" i="4"/>
  <c r="AV315" i="4"/>
  <c r="AV316" i="4"/>
  <c r="AV317" i="4"/>
  <c r="AV318" i="4"/>
  <c r="AV319" i="4"/>
  <c r="AV320" i="4"/>
  <c r="AV321" i="4"/>
  <c r="AV322" i="4"/>
  <c r="AV323" i="4"/>
  <c r="AV324" i="4"/>
  <c r="AV325" i="4"/>
  <c r="AV326" i="4"/>
  <c r="AV327" i="4"/>
  <c r="AV328" i="4"/>
  <c r="AV329" i="4"/>
  <c r="AV330" i="4"/>
  <c r="AV331" i="4"/>
  <c r="AV332" i="4"/>
  <c r="AV333" i="4"/>
  <c r="AV334" i="4"/>
  <c r="AV335" i="4"/>
  <c r="AV336" i="4"/>
  <c r="AV337" i="4"/>
  <c r="AV338" i="4"/>
  <c r="AV339" i="4"/>
  <c r="AV340" i="4"/>
  <c r="AV341" i="4"/>
  <c r="AV342" i="4"/>
  <c r="AV343" i="4"/>
  <c r="AV344" i="4"/>
  <c r="AV345" i="4"/>
  <c r="AV346" i="4"/>
  <c r="AV347" i="4"/>
  <c r="AV348" i="4"/>
  <c r="AV349" i="4"/>
  <c r="AV350" i="4"/>
  <c r="AV351" i="4"/>
  <c r="AV352" i="4"/>
  <c r="AV353" i="4"/>
  <c r="AV354" i="4"/>
  <c r="AV355" i="4"/>
  <c r="AV356" i="4"/>
  <c r="AV357" i="4"/>
  <c r="AV358" i="4"/>
  <c r="AV359" i="4"/>
  <c r="AV360" i="4"/>
  <c r="AV361" i="4"/>
  <c r="AV362" i="4"/>
  <c r="AV363" i="4"/>
  <c r="AV364" i="4"/>
  <c r="AV365" i="4"/>
  <c r="AV366" i="4"/>
  <c r="AV367" i="4"/>
  <c r="AV368" i="4"/>
  <c r="AV369" i="4"/>
  <c r="AV370" i="4"/>
  <c r="AV371" i="4"/>
  <c r="AV372" i="4"/>
  <c r="AV373" i="4"/>
  <c r="AV374" i="4"/>
  <c r="AV375" i="4"/>
  <c r="AV376" i="4"/>
  <c r="AV377" i="4"/>
  <c r="AV378" i="4"/>
  <c r="AV379" i="4"/>
  <c r="AV380" i="4"/>
  <c r="AV381" i="4"/>
  <c r="AV382" i="4"/>
  <c r="AV383" i="4"/>
  <c r="AV384" i="4"/>
  <c r="AV385" i="4"/>
  <c r="AV386" i="4"/>
  <c r="AV387" i="4"/>
  <c r="AV388" i="4"/>
  <c r="AV389" i="4"/>
  <c r="AV390" i="4"/>
  <c r="AV391" i="4"/>
  <c r="AV392" i="4"/>
  <c r="AV393" i="4"/>
  <c r="AV394" i="4"/>
  <c r="AV395" i="4"/>
  <c r="AV396" i="4"/>
  <c r="AV397" i="4"/>
  <c r="AV398" i="4"/>
  <c r="AV399" i="4"/>
  <c r="AV400" i="4"/>
  <c r="AV401" i="4"/>
  <c r="AV402" i="4"/>
  <c r="AV403" i="4"/>
  <c r="AV404" i="4"/>
  <c r="AV405" i="4"/>
  <c r="AV406" i="4"/>
  <c r="AV407" i="4"/>
  <c r="AV408" i="4"/>
  <c r="AV409" i="4"/>
  <c r="AV410" i="4"/>
  <c r="AV411" i="4"/>
  <c r="AV412" i="4"/>
  <c r="AV413" i="4"/>
  <c r="AV414" i="4"/>
  <c r="AV415" i="4"/>
  <c r="AV416" i="4"/>
  <c r="AU293" i="4"/>
  <c r="AU294" i="4"/>
  <c r="AU295" i="4"/>
  <c r="AU296" i="4"/>
  <c r="AU297" i="4"/>
  <c r="AU298" i="4"/>
  <c r="AU299" i="4"/>
  <c r="AU300" i="4"/>
  <c r="AU301" i="4"/>
  <c r="AU302" i="4"/>
  <c r="AU303" i="4"/>
  <c r="AU304" i="4"/>
  <c r="AU305" i="4"/>
  <c r="AU306" i="4"/>
  <c r="AU307" i="4"/>
  <c r="AU308" i="4"/>
  <c r="AU309" i="4"/>
  <c r="AU310" i="4"/>
  <c r="AU311" i="4"/>
  <c r="AU312" i="4"/>
  <c r="AU313" i="4"/>
  <c r="AU314" i="4"/>
  <c r="AU315" i="4"/>
  <c r="AU316" i="4"/>
  <c r="AU317" i="4"/>
  <c r="AU318" i="4"/>
  <c r="AU319" i="4"/>
  <c r="AU320" i="4"/>
  <c r="AU321" i="4"/>
  <c r="AU322" i="4"/>
  <c r="AU323" i="4"/>
  <c r="AU324" i="4"/>
  <c r="AU325" i="4"/>
  <c r="AU326" i="4"/>
  <c r="AU327" i="4"/>
  <c r="AU328" i="4"/>
  <c r="AU329" i="4"/>
  <c r="AU330" i="4"/>
  <c r="AU331" i="4"/>
  <c r="AU332" i="4"/>
  <c r="AU333" i="4"/>
  <c r="AU334" i="4"/>
  <c r="AU335" i="4"/>
  <c r="AU336" i="4"/>
  <c r="AU337" i="4"/>
  <c r="AU338" i="4"/>
  <c r="AU339" i="4"/>
  <c r="AU340" i="4"/>
  <c r="AU341" i="4"/>
  <c r="AU342" i="4"/>
  <c r="AU343" i="4"/>
  <c r="AU344" i="4"/>
  <c r="AU345" i="4"/>
  <c r="AU346" i="4"/>
  <c r="AU347" i="4"/>
  <c r="AU348" i="4"/>
  <c r="AU349" i="4"/>
  <c r="AU350" i="4"/>
  <c r="AU351" i="4"/>
  <c r="AU352" i="4"/>
  <c r="AU353" i="4"/>
  <c r="AU354" i="4"/>
  <c r="AU355" i="4"/>
  <c r="AU356" i="4"/>
  <c r="AU357" i="4"/>
  <c r="AU358" i="4"/>
  <c r="AU359" i="4"/>
  <c r="AU360" i="4"/>
  <c r="AU361" i="4"/>
  <c r="AU362" i="4"/>
  <c r="AU363" i="4"/>
  <c r="AU364" i="4"/>
  <c r="AU365" i="4"/>
  <c r="AU366" i="4"/>
  <c r="AU367" i="4"/>
  <c r="AU368" i="4"/>
  <c r="AU369" i="4"/>
  <c r="AU370" i="4"/>
  <c r="AU371" i="4"/>
  <c r="AU372" i="4"/>
  <c r="AU373" i="4"/>
  <c r="AU374" i="4"/>
  <c r="AU375" i="4"/>
  <c r="AU376" i="4"/>
  <c r="AU377" i="4"/>
  <c r="AU378" i="4"/>
  <c r="AU379" i="4"/>
  <c r="AU380" i="4"/>
  <c r="AU381" i="4"/>
  <c r="AU382" i="4"/>
  <c r="AU383" i="4"/>
  <c r="AU384" i="4"/>
  <c r="AU385" i="4"/>
  <c r="AU386" i="4"/>
  <c r="AU387" i="4"/>
  <c r="AU388" i="4"/>
  <c r="AU389" i="4"/>
  <c r="AU390" i="4"/>
  <c r="AU391" i="4"/>
  <c r="AU392" i="4"/>
  <c r="AU393" i="4"/>
  <c r="AU394" i="4"/>
  <c r="AU395" i="4"/>
  <c r="AU396" i="4"/>
  <c r="AU397" i="4"/>
  <c r="AU398" i="4"/>
  <c r="AU399" i="4"/>
  <c r="AU400" i="4"/>
  <c r="AU401" i="4"/>
  <c r="AU402" i="4"/>
  <c r="AU403" i="4"/>
  <c r="AU404" i="4"/>
  <c r="AU405" i="4"/>
  <c r="AU406" i="4"/>
  <c r="AU407" i="4"/>
  <c r="AU408" i="4"/>
  <c r="AU409" i="4"/>
  <c r="AU410" i="4"/>
  <c r="AU411" i="4"/>
  <c r="AU412" i="4"/>
  <c r="AU413" i="4"/>
  <c r="AU414" i="4"/>
  <c r="AU415" i="4"/>
  <c r="AU416"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Y292" i="4"/>
  <c r="AX292" i="4"/>
  <c r="AW292" i="4"/>
  <c r="AV292" i="4"/>
  <c r="AU292" i="4"/>
  <c r="AT292" i="4"/>
  <c r="AS292" i="4"/>
  <c r="AR292" i="4"/>
  <c r="AR151" i="4"/>
  <c r="AY152" i="4"/>
  <c r="AY153" i="4"/>
  <c r="AY154" i="4"/>
  <c r="AY155" i="4"/>
  <c r="AY156" i="4"/>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AY227" i="4"/>
  <c r="AY228" i="4"/>
  <c r="AY229" i="4"/>
  <c r="AY230" i="4"/>
  <c r="AY231" i="4"/>
  <c r="AY232" i="4"/>
  <c r="AY233" i="4"/>
  <c r="AY234" i="4"/>
  <c r="AY235" i="4"/>
  <c r="AY236" i="4"/>
  <c r="AY237" i="4"/>
  <c r="AY238" i="4"/>
  <c r="AY239" i="4"/>
  <c r="AY240" i="4"/>
  <c r="AY241" i="4"/>
  <c r="AY242" i="4"/>
  <c r="AY243" i="4"/>
  <c r="AY244" i="4"/>
  <c r="AY245" i="4"/>
  <c r="AY246" i="4"/>
  <c r="AY247" i="4"/>
  <c r="AY248" i="4"/>
  <c r="AY249" i="4"/>
  <c r="AY250" i="4"/>
  <c r="AY251" i="4"/>
  <c r="AY252" i="4"/>
  <c r="AY253" i="4"/>
  <c r="AY254" i="4"/>
  <c r="AY255" i="4"/>
  <c r="AY256" i="4"/>
  <c r="AY257" i="4"/>
  <c r="AY258" i="4"/>
  <c r="AY259" i="4"/>
  <c r="AY260" i="4"/>
  <c r="AY261" i="4"/>
  <c r="AY262" i="4"/>
  <c r="AY263" i="4"/>
  <c r="AY264" i="4"/>
  <c r="AY265" i="4"/>
  <c r="AY266" i="4"/>
  <c r="AY267" i="4"/>
  <c r="AY268" i="4"/>
  <c r="AY269" i="4"/>
  <c r="AY270" i="4"/>
  <c r="AY271" i="4"/>
  <c r="AY272" i="4"/>
  <c r="AY273" i="4"/>
  <c r="AY274" i="4"/>
  <c r="AY275" i="4"/>
  <c r="AX152" i="4"/>
  <c r="AX153" i="4"/>
  <c r="AX154" i="4"/>
  <c r="AX155" i="4"/>
  <c r="AX156" i="4"/>
  <c r="AX157" i="4"/>
  <c r="AX158" i="4"/>
  <c r="AX159" i="4"/>
  <c r="AX160" i="4"/>
  <c r="AX161" i="4"/>
  <c r="AX162" i="4"/>
  <c r="AX163" i="4"/>
  <c r="AX164" i="4"/>
  <c r="AX165" i="4"/>
  <c r="AX166" i="4"/>
  <c r="AX167" i="4"/>
  <c r="AX168" i="4"/>
  <c r="AX169" i="4"/>
  <c r="AX170" i="4"/>
  <c r="AX171" i="4"/>
  <c r="AX172" i="4"/>
  <c r="AX173" i="4"/>
  <c r="AX174" i="4"/>
  <c r="AX175" i="4"/>
  <c r="AX176" i="4"/>
  <c r="AX177" i="4"/>
  <c r="AX178" i="4"/>
  <c r="AX179" i="4"/>
  <c r="AX180" i="4"/>
  <c r="AX181" i="4"/>
  <c r="AX182" i="4"/>
  <c r="AX183" i="4"/>
  <c r="AX184" i="4"/>
  <c r="AX185" i="4"/>
  <c r="AX186" i="4"/>
  <c r="AX187" i="4"/>
  <c r="AX188" i="4"/>
  <c r="AX189" i="4"/>
  <c r="AX190" i="4"/>
  <c r="AX191" i="4"/>
  <c r="AX192" i="4"/>
  <c r="AX193" i="4"/>
  <c r="AX194" i="4"/>
  <c r="AX195" i="4"/>
  <c r="AX196" i="4"/>
  <c r="AX197" i="4"/>
  <c r="AX198" i="4"/>
  <c r="AX199" i="4"/>
  <c r="AX200" i="4"/>
  <c r="AX201" i="4"/>
  <c r="AX202" i="4"/>
  <c r="AX203" i="4"/>
  <c r="AX204" i="4"/>
  <c r="AX205" i="4"/>
  <c r="AX206" i="4"/>
  <c r="AX207" i="4"/>
  <c r="AX208" i="4"/>
  <c r="AX209" i="4"/>
  <c r="AX210" i="4"/>
  <c r="AX211" i="4"/>
  <c r="AX212" i="4"/>
  <c r="AX213" i="4"/>
  <c r="AX214" i="4"/>
  <c r="AX215" i="4"/>
  <c r="AX216" i="4"/>
  <c r="AX217" i="4"/>
  <c r="AX218" i="4"/>
  <c r="AX219" i="4"/>
  <c r="AX220" i="4"/>
  <c r="AX221" i="4"/>
  <c r="AX222" i="4"/>
  <c r="AX223" i="4"/>
  <c r="AX224" i="4"/>
  <c r="AX225" i="4"/>
  <c r="AX226" i="4"/>
  <c r="AX227" i="4"/>
  <c r="AX228" i="4"/>
  <c r="AX229" i="4"/>
  <c r="AX230" i="4"/>
  <c r="AX231" i="4"/>
  <c r="AX232" i="4"/>
  <c r="AX233" i="4"/>
  <c r="AX234" i="4"/>
  <c r="AX235" i="4"/>
  <c r="AX236" i="4"/>
  <c r="AX237" i="4"/>
  <c r="AX238" i="4"/>
  <c r="AX239" i="4"/>
  <c r="AX240" i="4"/>
  <c r="AX241" i="4"/>
  <c r="AX242" i="4"/>
  <c r="AX243" i="4"/>
  <c r="AX244" i="4"/>
  <c r="AX245" i="4"/>
  <c r="AX246" i="4"/>
  <c r="AX247" i="4"/>
  <c r="AX248" i="4"/>
  <c r="AX249" i="4"/>
  <c r="AX250" i="4"/>
  <c r="AX251" i="4"/>
  <c r="AX252" i="4"/>
  <c r="AX253" i="4"/>
  <c r="AX254" i="4"/>
  <c r="AX255" i="4"/>
  <c r="AX256" i="4"/>
  <c r="AX257" i="4"/>
  <c r="AX258" i="4"/>
  <c r="AX259" i="4"/>
  <c r="AX260" i="4"/>
  <c r="AX261" i="4"/>
  <c r="AX262" i="4"/>
  <c r="AX263" i="4"/>
  <c r="AX264" i="4"/>
  <c r="AX265" i="4"/>
  <c r="AX266" i="4"/>
  <c r="AX267" i="4"/>
  <c r="AX268" i="4"/>
  <c r="AX269" i="4"/>
  <c r="AX270" i="4"/>
  <c r="AX271" i="4"/>
  <c r="AX272" i="4"/>
  <c r="AX273" i="4"/>
  <c r="AX274" i="4"/>
  <c r="AX275" i="4"/>
  <c r="AW152" i="4"/>
  <c r="AW153" i="4"/>
  <c r="AW154" i="4"/>
  <c r="AW155" i="4"/>
  <c r="AW156" i="4"/>
  <c r="AW157" i="4"/>
  <c r="AW158" i="4"/>
  <c r="AW159" i="4"/>
  <c r="AW160" i="4"/>
  <c r="AW161" i="4"/>
  <c r="AW162" i="4"/>
  <c r="AW163" i="4"/>
  <c r="AW164" i="4"/>
  <c r="AW165" i="4"/>
  <c r="AW166" i="4"/>
  <c r="AW167" i="4"/>
  <c r="AW168" i="4"/>
  <c r="AW169" i="4"/>
  <c r="AW170" i="4"/>
  <c r="AW171" i="4"/>
  <c r="AW172" i="4"/>
  <c r="AW173" i="4"/>
  <c r="AW174" i="4"/>
  <c r="AW175" i="4"/>
  <c r="AW176" i="4"/>
  <c r="AW177" i="4"/>
  <c r="AW178" i="4"/>
  <c r="AW179" i="4"/>
  <c r="AW180" i="4"/>
  <c r="AW181" i="4"/>
  <c r="AW182" i="4"/>
  <c r="AW183" i="4"/>
  <c r="AW184" i="4"/>
  <c r="AW185" i="4"/>
  <c r="AW186" i="4"/>
  <c r="AW187" i="4"/>
  <c r="AW188" i="4"/>
  <c r="AW189" i="4"/>
  <c r="AW190" i="4"/>
  <c r="AW191" i="4"/>
  <c r="AW192" i="4"/>
  <c r="AW193" i="4"/>
  <c r="AW194" i="4"/>
  <c r="AW195" i="4"/>
  <c r="AW196" i="4"/>
  <c r="AW197" i="4"/>
  <c r="AW198" i="4"/>
  <c r="AW199" i="4"/>
  <c r="AW200" i="4"/>
  <c r="AW201" i="4"/>
  <c r="AW202" i="4"/>
  <c r="AW203" i="4"/>
  <c r="AW204" i="4"/>
  <c r="AW205" i="4"/>
  <c r="AW206" i="4"/>
  <c r="AW207" i="4"/>
  <c r="AW208" i="4"/>
  <c r="AW209" i="4"/>
  <c r="AW210" i="4"/>
  <c r="AW211" i="4"/>
  <c r="AW212" i="4"/>
  <c r="AW213" i="4"/>
  <c r="AW214" i="4"/>
  <c r="AW215" i="4"/>
  <c r="AW216" i="4"/>
  <c r="AW217" i="4"/>
  <c r="AW218" i="4"/>
  <c r="AW219" i="4"/>
  <c r="AW220" i="4"/>
  <c r="AW221" i="4"/>
  <c r="AW222" i="4"/>
  <c r="AW223" i="4"/>
  <c r="AW224" i="4"/>
  <c r="AW225" i="4"/>
  <c r="AW226" i="4"/>
  <c r="AW227" i="4"/>
  <c r="AW228" i="4"/>
  <c r="AW229" i="4"/>
  <c r="AW230" i="4"/>
  <c r="AW231" i="4"/>
  <c r="AW232" i="4"/>
  <c r="AW233" i="4"/>
  <c r="AW234" i="4"/>
  <c r="AW235" i="4"/>
  <c r="AW236" i="4"/>
  <c r="AW237" i="4"/>
  <c r="AW238" i="4"/>
  <c r="AW239" i="4"/>
  <c r="AW240" i="4"/>
  <c r="AW241" i="4"/>
  <c r="AW242" i="4"/>
  <c r="AW243" i="4"/>
  <c r="AW244" i="4"/>
  <c r="AW245" i="4"/>
  <c r="AW246" i="4"/>
  <c r="AW247" i="4"/>
  <c r="AW248" i="4"/>
  <c r="AW249" i="4"/>
  <c r="AW250" i="4"/>
  <c r="AW251" i="4"/>
  <c r="AW252" i="4"/>
  <c r="AW253" i="4"/>
  <c r="AW254" i="4"/>
  <c r="AW255" i="4"/>
  <c r="AW256" i="4"/>
  <c r="AW257" i="4"/>
  <c r="AW258" i="4"/>
  <c r="AW259" i="4"/>
  <c r="AW260" i="4"/>
  <c r="AW261" i="4"/>
  <c r="AW262" i="4"/>
  <c r="AW263" i="4"/>
  <c r="AW264" i="4"/>
  <c r="AW265" i="4"/>
  <c r="AW266" i="4"/>
  <c r="AW267" i="4"/>
  <c r="AW268" i="4"/>
  <c r="AW269" i="4"/>
  <c r="AW270" i="4"/>
  <c r="AW271" i="4"/>
  <c r="AW272" i="4"/>
  <c r="AW273" i="4"/>
  <c r="AW274" i="4"/>
  <c r="AW275" i="4"/>
  <c r="AV152" i="4"/>
  <c r="AV153" i="4"/>
  <c r="AV154" i="4"/>
  <c r="AV155" i="4"/>
  <c r="AV156" i="4"/>
  <c r="AV157" i="4"/>
  <c r="AV158" i="4"/>
  <c r="AV159" i="4"/>
  <c r="AV160" i="4"/>
  <c r="AV161" i="4"/>
  <c r="AV162" i="4"/>
  <c r="AV163" i="4"/>
  <c r="AV164" i="4"/>
  <c r="AV165" i="4"/>
  <c r="AV166" i="4"/>
  <c r="AV167" i="4"/>
  <c r="AV168" i="4"/>
  <c r="AV169" i="4"/>
  <c r="AV170" i="4"/>
  <c r="AV171" i="4"/>
  <c r="AV172" i="4"/>
  <c r="AV173" i="4"/>
  <c r="AV174" i="4"/>
  <c r="AV175" i="4"/>
  <c r="AV176" i="4"/>
  <c r="AV177" i="4"/>
  <c r="AV178" i="4"/>
  <c r="AV179" i="4"/>
  <c r="AV180" i="4"/>
  <c r="AV181" i="4"/>
  <c r="AV182" i="4"/>
  <c r="AV183" i="4"/>
  <c r="AV184" i="4"/>
  <c r="AV185" i="4"/>
  <c r="AV186" i="4"/>
  <c r="AV187" i="4"/>
  <c r="AV188" i="4"/>
  <c r="AV189" i="4"/>
  <c r="AV190" i="4"/>
  <c r="AV191" i="4"/>
  <c r="AV192" i="4"/>
  <c r="AV193" i="4"/>
  <c r="AV194" i="4"/>
  <c r="AV195" i="4"/>
  <c r="AV196" i="4"/>
  <c r="AV197" i="4"/>
  <c r="AV198" i="4"/>
  <c r="AV199" i="4"/>
  <c r="AV200" i="4"/>
  <c r="AV201" i="4"/>
  <c r="AV202" i="4"/>
  <c r="AV203" i="4"/>
  <c r="AV204" i="4"/>
  <c r="AV205" i="4"/>
  <c r="AV206" i="4"/>
  <c r="AV207" i="4"/>
  <c r="AV208" i="4"/>
  <c r="AV209" i="4"/>
  <c r="AV210" i="4"/>
  <c r="AV211" i="4"/>
  <c r="AV212" i="4"/>
  <c r="AV213" i="4"/>
  <c r="AV214" i="4"/>
  <c r="AV215" i="4"/>
  <c r="AV216" i="4"/>
  <c r="AV217" i="4"/>
  <c r="AV218" i="4"/>
  <c r="AV219" i="4"/>
  <c r="AV220" i="4"/>
  <c r="AV221" i="4"/>
  <c r="AV222" i="4"/>
  <c r="AV223" i="4"/>
  <c r="AV224" i="4"/>
  <c r="AV225" i="4"/>
  <c r="AV226" i="4"/>
  <c r="AV227" i="4"/>
  <c r="AV228" i="4"/>
  <c r="AV229" i="4"/>
  <c r="AV230" i="4"/>
  <c r="AV231" i="4"/>
  <c r="AV232" i="4"/>
  <c r="AV233" i="4"/>
  <c r="AV234" i="4"/>
  <c r="AV235" i="4"/>
  <c r="AV236" i="4"/>
  <c r="AV237" i="4"/>
  <c r="AV238" i="4"/>
  <c r="AV239" i="4"/>
  <c r="AV240" i="4"/>
  <c r="AV241" i="4"/>
  <c r="AV242" i="4"/>
  <c r="AV243" i="4"/>
  <c r="AV244" i="4"/>
  <c r="AV245" i="4"/>
  <c r="AV246" i="4"/>
  <c r="AV247" i="4"/>
  <c r="AV248" i="4"/>
  <c r="AV249" i="4"/>
  <c r="AV250" i="4"/>
  <c r="AV251" i="4"/>
  <c r="AV252" i="4"/>
  <c r="AV253" i="4"/>
  <c r="AV254" i="4"/>
  <c r="AV255" i="4"/>
  <c r="AV256" i="4"/>
  <c r="AV257" i="4"/>
  <c r="AV258" i="4"/>
  <c r="AV259" i="4"/>
  <c r="AV260" i="4"/>
  <c r="AV261" i="4"/>
  <c r="AV262" i="4"/>
  <c r="AV263" i="4"/>
  <c r="AV264" i="4"/>
  <c r="AV265" i="4"/>
  <c r="AV266" i="4"/>
  <c r="AV267" i="4"/>
  <c r="AV268" i="4"/>
  <c r="AV269" i="4"/>
  <c r="AV270" i="4"/>
  <c r="AV271" i="4"/>
  <c r="AV272" i="4"/>
  <c r="AV273" i="4"/>
  <c r="AV274" i="4"/>
  <c r="AV275"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Y151" i="4"/>
  <c r="AX151" i="4"/>
  <c r="AW151" i="4"/>
  <c r="AV151" i="4"/>
  <c r="AT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Q151" i="4"/>
  <c r="AO151"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433"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433"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433"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292"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292" i="4"/>
  <c r="AN152" i="4"/>
  <c r="AN153" i="4"/>
  <c r="AN154" i="4"/>
  <c r="AN155" i="4"/>
  <c r="AN156" i="4"/>
  <c r="AN157"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P151" i="4"/>
  <c r="AZ432" i="4"/>
  <c r="AZ291" i="4"/>
  <c r="BP143" i="7"/>
  <c r="H255" i="1" s="1"/>
  <c r="BO143" i="7"/>
  <c r="G255" i="1" s="1"/>
  <c r="BN143" i="7"/>
  <c r="F255" i="1" s="1"/>
  <c r="BM143" i="7"/>
  <c r="E255" i="1" s="1"/>
  <c r="AP11" i="11"/>
  <c r="CU6" i="6"/>
  <c r="CU7" i="6" s="1"/>
  <c r="CU8" i="6" s="1"/>
  <c r="N145" i="1" s="1"/>
  <c r="CC144" i="6"/>
  <c r="F143" i="1" s="1"/>
  <c r="CD144" i="6"/>
  <c r="G143" i="1" s="1"/>
  <c r="BA8" i="6"/>
  <c r="AF143" i="6"/>
  <c r="G127" i="1" s="1"/>
  <c r="E8" i="6"/>
  <c r="E7" i="6"/>
  <c r="E6" i="6"/>
  <c r="AV6" i="6"/>
  <c r="AN297" i="4"/>
  <c r="AN433"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335" i="4"/>
  <c r="AN415" i="4"/>
  <c r="AN414" i="4"/>
  <c r="AN413" i="4"/>
  <c r="AN412" i="4"/>
  <c r="AN410" i="4"/>
  <c r="AN354" i="4"/>
  <c r="AN293" i="4"/>
  <c r="AN294" i="4"/>
  <c r="AN295" i="4"/>
  <c r="AN296"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6" i="4"/>
  <c r="AN337" i="4"/>
  <c r="AN338" i="4"/>
  <c r="AN339" i="4"/>
  <c r="AN340" i="4"/>
  <c r="AN341" i="4"/>
  <c r="AN342" i="4"/>
  <c r="AN343" i="4"/>
  <c r="AN344" i="4"/>
  <c r="AN345" i="4"/>
  <c r="AN346" i="4"/>
  <c r="AN347" i="4"/>
  <c r="AN348" i="4"/>
  <c r="AN349" i="4"/>
  <c r="AN350" i="4"/>
  <c r="AN351" i="4"/>
  <c r="AN352" i="4"/>
  <c r="AN353"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1" i="4"/>
  <c r="AN416" i="4"/>
  <c r="BM8" i="12"/>
  <c r="BN8" i="12" s="1"/>
  <c r="BO8" i="12" s="1"/>
  <c r="N61" i="1" s="1"/>
  <c r="BM7" i="12"/>
  <c r="BN7" i="12" s="1"/>
  <c r="BO7" i="12" s="1"/>
  <c r="BM6" i="12"/>
  <c r="BN6" i="12" s="1"/>
  <c r="BO6" i="12" s="1"/>
  <c r="R3" i="12"/>
  <c r="S3" i="12" s="1"/>
  <c r="T3" i="12" s="1"/>
  <c r="R5" i="12"/>
  <c r="S5" i="12" s="1"/>
  <c r="T5" i="12" s="1"/>
  <c r="R4" i="12"/>
  <c r="S4" i="12" s="1"/>
  <c r="T4" i="12" s="1"/>
  <c r="I6" i="12"/>
  <c r="I5" i="12"/>
  <c r="H5" i="12"/>
  <c r="G6" i="12"/>
  <c r="G5" i="12"/>
  <c r="AI6" i="3"/>
  <c r="AI5" i="3"/>
  <c r="AP143" i="6"/>
  <c r="Q223" i="1"/>
  <c r="Q224" i="1"/>
  <c r="Q227" i="1"/>
  <c r="Q229" i="1"/>
  <c r="Q90" i="1"/>
  <c r="Q89" i="1"/>
  <c r="Q228" i="1"/>
  <c r="BR143" i="7"/>
  <c r="J255" i="1" s="1"/>
  <c r="BS143" i="7"/>
  <c r="K255" i="1" s="1"/>
  <c r="L255" i="1"/>
  <c r="BU143" i="7"/>
  <c r="M255" i="1" s="1"/>
  <c r="BV143" i="7"/>
  <c r="N255" i="1" s="1"/>
  <c r="BW143" i="7"/>
  <c r="O255" i="1" s="1"/>
  <c r="BX143" i="7"/>
  <c r="P255" i="1" s="1"/>
  <c r="BY143" i="7"/>
  <c r="Q246" i="1"/>
  <c r="Q247" i="1"/>
  <c r="Q248" i="1"/>
  <c r="Q251" i="1"/>
  <c r="Q252" i="1"/>
  <c r="Q253" i="1"/>
  <c r="Q234" i="1"/>
  <c r="Q235" i="1"/>
  <c r="Q236" i="1"/>
  <c r="Q239" i="1"/>
  <c r="Q240" i="1"/>
  <c r="Q241" i="1"/>
  <c r="Q210" i="1"/>
  <c r="Q211" i="1"/>
  <c r="Q212" i="1"/>
  <c r="Q215" i="1"/>
  <c r="Q216" i="1"/>
  <c r="AP8" i="11"/>
  <c r="AP9" i="11"/>
  <c r="AP10" i="11"/>
  <c r="AP12" i="11"/>
  <c r="AP13" i="11"/>
  <c r="AP14" i="11"/>
  <c r="AP15" i="11"/>
  <c r="AP16" i="11"/>
  <c r="AP17" i="11"/>
  <c r="AP18" i="11"/>
  <c r="AP19" i="11"/>
  <c r="AP20" i="11"/>
  <c r="AP7" i="11"/>
  <c r="AP6" i="11"/>
  <c r="E8" i="11"/>
  <c r="E14" i="11"/>
  <c r="E15" i="11"/>
  <c r="E16" i="11"/>
  <c r="E17" i="11"/>
  <c r="E18" i="11"/>
  <c r="E19" i="11"/>
  <c r="E20" i="11"/>
  <c r="Q186" i="1"/>
  <c r="Q187" i="1"/>
  <c r="Q188" i="1"/>
  <c r="Q191" i="1"/>
  <c r="Q192" i="1"/>
  <c r="Q193" i="1"/>
  <c r="Q217" i="1"/>
  <c r="AP20" i="10"/>
  <c r="AP8" i="10"/>
  <c r="AP9" i="10"/>
  <c r="AP10" i="10"/>
  <c r="AP11" i="10"/>
  <c r="AP12" i="10"/>
  <c r="AP13" i="10"/>
  <c r="AP14" i="10"/>
  <c r="AP15" i="10"/>
  <c r="AP16" i="10"/>
  <c r="AP17" i="10"/>
  <c r="AP18" i="10"/>
  <c r="AP19" i="10"/>
  <c r="AP7" i="10"/>
  <c r="AP6" i="10"/>
  <c r="E8" i="10"/>
  <c r="E9" i="10"/>
  <c r="E10" i="10"/>
  <c r="E11" i="10"/>
  <c r="E12" i="10"/>
  <c r="E13" i="10"/>
  <c r="E14" i="10"/>
  <c r="E15" i="10"/>
  <c r="E16" i="10"/>
  <c r="E17" i="10"/>
  <c r="E18" i="10"/>
  <c r="E19" i="10"/>
  <c r="E20" i="10"/>
  <c r="E7" i="10"/>
  <c r="E6" i="10"/>
  <c r="Q162" i="1"/>
  <c r="Q163" i="1"/>
  <c r="Q164" i="1"/>
  <c r="Q167" i="1"/>
  <c r="Q168" i="1"/>
  <c r="Q169" i="1"/>
  <c r="AQ20" i="8"/>
  <c r="AQ10" i="8"/>
  <c r="AQ11" i="8"/>
  <c r="AQ12" i="8"/>
  <c r="AQ13" i="8"/>
  <c r="AQ14" i="8"/>
  <c r="AQ15" i="8"/>
  <c r="AQ16" i="8"/>
  <c r="AQ17" i="8"/>
  <c r="AQ18" i="8"/>
  <c r="AQ19" i="8"/>
  <c r="AQ7" i="8"/>
  <c r="AQ6" i="8"/>
  <c r="AQ9" i="8"/>
  <c r="AQ8" i="8"/>
  <c r="Q150" i="1"/>
  <c r="Q151" i="1"/>
  <c r="Q152" i="1"/>
  <c r="Q155" i="1"/>
  <c r="Q156" i="1"/>
  <c r="Q157" i="1"/>
  <c r="F9" i="8"/>
  <c r="F7" i="8"/>
  <c r="F8" i="8"/>
  <c r="F10" i="8"/>
  <c r="F11" i="8"/>
  <c r="F12" i="8"/>
  <c r="F13" i="8"/>
  <c r="F14" i="8"/>
  <c r="F15" i="8"/>
  <c r="F16" i="8"/>
  <c r="F17" i="8"/>
  <c r="F18" i="8"/>
  <c r="F19" i="8"/>
  <c r="F20" i="8"/>
  <c r="CN144" i="6"/>
  <c r="Q143" i="1"/>
  <c r="CM144" i="6"/>
  <c r="P143" i="1" s="1"/>
  <c r="CL144" i="6"/>
  <c r="O143" i="1" s="1"/>
  <c r="CK144" i="6"/>
  <c r="N143" i="1" s="1"/>
  <c r="CJ144" i="6"/>
  <c r="M143" i="1" s="1"/>
  <c r="CI144" i="6"/>
  <c r="L143" i="1" s="1"/>
  <c r="CH144" i="6"/>
  <c r="K143" i="1" s="1"/>
  <c r="CG144" i="6"/>
  <c r="J143" i="1" s="1"/>
  <c r="CE144" i="6"/>
  <c r="H143" i="1" s="1"/>
  <c r="E143" i="1"/>
  <c r="Q134" i="1"/>
  <c r="Q135" i="1"/>
  <c r="Q136" i="1"/>
  <c r="Q139" i="1"/>
  <c r="Q140" i="1"/>
  <c r="Q141" i="1"/>
  <c r="BA20" i="6"/>
  <c r="BA9" i="6"/>
  <c r="BA10" i="6"/>
  <c r="BA11" i="6"/>
  <c r="BA12" i="6"/>
  <c r="BA13" i="6"/>
  <c r="BA14" i="6"/>
  <c r="BA15" i="6"/>
  <c r="BA16" i="6"/>
  <c r="BA17" i="6"/>
  <c r="BA18" i="6"/>
  <c r="BA19" i="6"/>
  <c r="BA7" i="6"/>
  <c r="BA6" i="6"/>
  <c r="E127" i="1"/>
  <c r="Q125" i="1"/>
  <c r="Q124" i="1"/>
  <c r="Q123" i="1"/>
  <c r="Q120" i="1"/>
  <c r="Q119" i="1"/>
  <c r="Q118" i="1"/>
  <c r="E9" i="6"/>
  <c r="E10" i="6"/>
  <c r="E11" i="6"/>
  <c r="E12" i="6"/>
  <c r="E13" i="6"/>
  <c r="E14" i="6"/>
  <c r="E15" i="6"/>
  <c r="E16" i="6"/>
  <c r="E17" i="6"/>
  <c r="E18" i="6"/>
  <c r="E19" i="6"/>
  <c r="E20" i="6"/>
  <c r="Q71" i="1"/>
  <c r="Q70" i="1"/>
  <c r="Q66" i="1"/>
  <c r="Q67" i="1"/>
  <c r="Q65" i="1"/>
  <c r="F20" i="4"/>
  <c r="F7" i="4"/>
  <c r="F8" i="4"/>
  <c r="F9" i="4"/>
  <c r="F10" i="4"/>
  <c r="F11" i="4"/>
  <c r="F13" i="4"/>
  <c r="F14" i="4"/>
  <c r="F15" i="4"/>
  <c r="F16" i="4"/>
  <c r="F17" i="4"/>
  <c r="F18" i="4"/>
  <c r="F19" i="4"/>
  <c r="F6" i="4"/>
  <c r="Q59" i="1"/>
  <c r="Q57" i="1"/>
  <c r="Q54" i="1"/>
  <c r="Q53" i="1"/>
  <c r="Q52" i="1"/>
  <c r="Q44" i="1"/>
  <c r="Q43" i="1"/>
  <c r="Q40" i="1"/>
  <c r="Q39" i="1"/>
  <c r="Q38" i="1"/>
  <c r="Q45" i="1"/>
  <c r="Q31" i="1"/>
  <c r="Q30" i="1"/>
  <c r="Q29" i="1"/>
  <c r="Q26" i="1"/>
  <c r="Q25" i="1"/>
  <c r="Q24" i="1"/>
  <c r="Q111" i="1"/>
  <c r="Q100" i="1"/>
  <c r="Q113" i="1"/>
  <c r="Q102" i="1"/>
  <c r="Q95" i="1"/>
  <c r="Q106" i="1"/>
  <c r="Q107" i="1"/>
  <c r="Q96" i="1"/>
  <c r="Q97" i="1"/>
  <c r="Q108" i="1"/>
  <c r="Q112" i="1"/>
  <c r="Q101" i="1"/>
  <c r="Q72" i="1"/>
  <c r="Q58" i="1"/>
  <c r="G19" i="12"/>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3" i="1"/>
  <c r="Q15" i="1"/>
  <c r="Q14" i="1"/>
  <c r="Q10" i="1"/>
  <c r="Q88" i="1"/>
  <c r="Q85" i="1"/>
  <c r="Q84" i="1"/>
  <c r="Q83" i="1"/>
  <c r="AY432" i="4" l="1"/>
  <c r="AX432" i="4"/>
  <c r="AW432" i="4"/>
  <c r="N78" i="1" s="1"/>
  <c r="AV432" i="4"/>
  <c r="M78" i="1" s="1"/>
  <c r="AU432" i="4"/>
  <c r="L78" i="1" s="1"/>
  <c r="AT432" i="4"/>
  <c r="K78" i="1" s="1"/>
  <c r="AS432" i="4"/>
  <c r="J78" i="1" s="1"/>
  <c r="AR432" i="4"/>
  <c r="I78" i="1" s="1"/>
  <c r="AQ432" i="4"/>
  <c r="H78" i="1" s="1"/>
  <c r="AP432" i="4"/>
  <c r="G78" i="1" s="1"/>
  <c r="AO432" i="4"/>
  <c r="F78" i="1" s="1"/>
  <c r="AN432" i="4"/>
  <c r="E78" i="1" s="1"/>
  <c r="AM432" i="4"/>
  <c r="D78" i="1" s="1"/>
  <c r="AM150" i="4"/>
  <c r="D74" i="1" s="1"/>
  <c r="O210" i="1"/>
  <c r="G210" i="1"/>
  <c r="K211" i="1"/>
  <c r="O212" i="1"/>
  <c r="G212" i="1"/>
  <c r="L213" i="1"/>
  <c r="D214" i="1"/>
  <c r="I214" i="1"/>
  <c r="N215" i="1"/>
  <c r="F215" i="1"/>
  <c r="J216" i="1"/>
  <c r="N217" i="1"/>
  <c r="F217" i="1"/>
  <c r="N210" i="1"/>
  <c r="F210" i="1"/>
  <c r="J211" i="1"/>
  <c r="N212" i="1"/>
  <c r="F212" i="1"/>
  <c r="K213" i="1"/>
  <c r="P214" i="1"/>
  <c r="H214" i="1"/>
  <c r="M215" i="1"/>
  <c r="E215" i="1"/>
  <c r="I216" i="1"/>
  <c r="M217" i="1"/>
  <c r="E217" i="1"/>
  <c r="P78" i="1"/>
  <c r="D210" i="1"/>
  <c r="M210" i="1"/>
  <c r="E210" i="1"/>
  <c r="I211" i="1"/>
  <c r="M212" i="1"/>
  <c r="E212" i="1"/>
  <c r="J213" i="1"/>
  <c r="O214" i="1"/>
  <c r="G214" i="1"/>
  <c r="L215" i="1"/>
  <c r="P216" i="1"/>
  <c r="H216" i="1"/>
  <c r="L217" i="1"/>
  <c r="D211" i="1"/>
  <c r="L210" i="1"/>
  <c r="P211" i="1"/>
  <c r="H211" i="1"/>
  <c r="L212" i="1"/>
  <c r="D213" i="1"/>
  <c r="I213" i="1"/>
  <c r="N214" i="1"/>
  <c r="F214" i="1"/>
  <c r="K215" i="1"/>
  <c r="O216" i="1"/>
  <c r="G216" i="1"/>
  <c r="K217" i="1"/>
  <c r="D212" i="1"/>
  <c r="K210" i="1"/>
  <c r="O211" i="1"/>
  <c r="G211" i="1"/>
  <c r="K212" i="1"/>
  <c r="P213" i="1"/>
  <c r="H213" i="1"/>
  <c r="M214" i="1"/>
  <c r="E214" i="1"/>
  <c r="J215" i="1"/>
  <c r="N216" i="1"/>
  <c r="F216" i="1"/>
  <c r="J217" i="1"/>
  <c r="O78" i="1"/>
  <c r="D216" i="1"/>
  <c r="J210" i="1"/>
  <c r="N211" i="1"/>
  <c r="F211" i="1"/>
  <c r="J212" i="1"/>
  <c r="O213" i="1"/>
  <c r="G213" i="1"/>
  <c r="L214" i="1"/>
  <c r="D215" i="1"/>
  <c r="I215" i="1"/>
  <c r="M216" i="1"/>
  <c r="E216" i="1"/>
  <c r="I217" i="1"/>
  <c r="D217" i="1"/>
  <c r="I210" i="1"/>
  <c r="M211" i="1"/>
  <c r="E211" i="1"/>
  <c r="I212" i="1"/>
  <c r="N213" i="1"/>
  <c r="F213" i="1"/>
  <c r="K214" i="1"/>
  <c r="P215" i="1"/>
  <c r="H215" i="1"/>
  <c r="L216" i="1"/>
  <c r="P217" i="1"/>
  <c r="H217" i="1"/>
  <c r="P210" i="1"/>
  <c r="H210" i="1"/>
  <c r="L211" i="1"/>
  <c r="P212" i="1"/>
  <c r="H212" i="1"/>
  <c r="M213" i="1"/>
  <c r="E213" i="1"/>
  <c r="J214" i="1"/>
  <c r="O215" i="1"/>
  <c r="G215" i="1"/>
  <c r="K216" i="1"/>
  <c r="O217" i="1"/>
  <c r="G217" i="1"/>
  <c r="AY150" i="4"/>
  <c r="P74" i="1" s="1"/>
  <c r="AI7" i="3"/>
  <c r="N19" i="1" s="1"/>
  <c r="J150" i="1"/>
  <c r="J174" i="1"/>
  <c r="AM291" i="4"/>
  <c r="D76" i="1" s="1"/>
  <c r="D150" i="1"/>
  <c r="I150" i="1"/>
  <c r="I174" i="1"/>
  <c r="AN291" i="4"/>
  <c r="E76" i="1" s="1"/>
  <c r="AO150" i="4"/>
  <c r="F74" i="1" s="1"/>
  <c r="P150" i="1"/>
  <c r="H150" i="1"/>
  <c r="P174" i="1"/>
  <c r="H174" i="1"/>
  <c r="O150" i="1"/>
  <c r="G150" i="1"/>
  <c r="O174" i="1"/>
  <c r="G174" i="1"/>
  <c r="AN150" i="4"/>
  <c r="E74" i="1" s="1"/>
  <c r="N150" i="1"/>
  <c r="F150" i="1"/>
  <c r="D174" i="1"/>
  <c r="N174" i="1"/>
  <c r="F174" i="1"/>
  <c r="M150" i="1"/>
  <c r="E150" i="1"/>
  <c r="M174" i="1"/>
  <c r="E174" i="1"/>
  <c r="L150" i="1"/>
  <c r="L174" i="1"/>
  <c r="K150" i="1"/>
  <c r="K174" i="1"/>
  <c r="K65" i="1"/>
  <c r="K83" i="1"/>
  <c r="L106" i="1"/>
  <c r="J95" i="1"/>
  <c r="L118" i="1"/>
  <c r="L134" i="1"/>
  <c r="M134" i="1"/>
  <c r="J65" i="1"/>
  <c r="J83" i="1"/>
  <c r="K106" i="1"/>
  <c r="D95" i="1"/>
  <c r="I95" i="1"/>
  <c r="K118" i="1"/>
  <c r="K134" i="1"/>
  <c r="I65" i="1"/>
  <c r="I83" i="1"/>
  <c r="J106" i="1"/>
  <c r="P95" i="1"/>
  <c r="H95" i="1"/>
  <c r="J118" i="1"/>
  <c r="J134" i="1"/>
  <c r="D134" i="1"/>
  <c r="M24" i="1"/>
  <c r="E24" i="1"/>
  <c r="K24" i="1"/>
  <c r="J24" i="1"/>
  <c r="G95" i="1"/>
  <c r="I118" i="1"/>
  <c r="I134" i="1"/>
  <c r="O65" i="1"/>
  <c r="G65" i="1"/>
  <c r="P83" i="1"/>
  <c r="G83" i="1"/>
  <c r="P106" i="1"/>
  <c r="H106" i="1"/>
  <c r="N95" i="1"/>
  <c r="F95" i="1"/>
  <c r="D118" i="1"/>
  <c r="H118" i="1"/>
  <c r="H134" i="1"/>
  <c r="D65" i="1"/>
  <c r="H65" i="1"/>
  <c r="D83" i="1"/>
  <c r="H83" i="1"/>
  <c r="D106" i="1"/>
  <c r="I106" i="1"/>
  <c r="O95" i="1"/>
  <c r="I24" i="1"/>
  <c r="P24" i="1"/>
  <c r="H24" i="1"/>
  <c r="N65" i="1"/>
  <c r="F65" i="1"/>
  <c r="N83" i="1"/>
  <c r="F83" i="1"/>
  <c r="O106" i="1"/>
  <c r="G106" i="1"/>
  <c r="M95" i="1"/>
  <c r="E95" i="1"/>
  <c r="P118" i="1"/>
  <c r="G118" i="1"/>
  <c r="P134" i="1"/>
  <c r="G134" i="1"/>
  <c r="M65" i="1"/>
  <c r="E65" i="1"/>
  <c r="M83" i="1"/>
  <c r="E83" i="1"/>
  <c r="N106" i="1"/>
  <c r="F106" i="1"/>
  <c r="L95" i="1"/>
  <c r="N118" i="1"/>
  <c r="F118" i="1"/>
  <c r="O134" i="1"/>
  <c r="F134" i="1"/>
  <c r="L24" i="1"/>
  <c r="O24" i="1"/>
  <c r="G24" i="1"/>
  <c r="N24" i="1"/>
  <c r="F24" i="1"/>
  <c r="L65" i="1"/>
  <c r="P65" i="1"/>
  <c r="L83" i="1"/>
  <c r="O83" i="1"/>
  <c r="M106" i="1"/>
  <c r="E106" i="1"/>
  <c r="K95" i="1"/>
  <c r="M118" i="1"/>
  <c r="E118" i="1"/>
  <c r="N134" i="1"/>
  <c r="E134" i="1"/>
  <c r="AY291" i="4"/>
  <c r="P76" i="1" s="1"/>
  <c r="AX291" i="4"/>
  <c r="O76" i="1" s="1"/>
  <c r="AX150" i="4"/>
  <c r="O74" i="1" s="1"/>
  <c r="AW291" i="4"/>
  <c r="N76" i="1" s="1"/>
  <c r="AW150" i="4"/>
  <c r="N74" i="1" s="1"/>
  <c r="AV291" i="4"/>
  <c r="M76" i="1" s="1"/>
  <c r="AV150" i="4"/>
  <c r="M74" i="1" s="1"/>
  <c r="AT150" i="4"/>
  <c r="K74" i="1" s="1"/>
  <c r="L74" i="1"/>
  <c r="AU291" i="4"/>
  <c r="L76" i="1" s="1"/>
  <c r="AS291" i="4"/>
  <c r="J76" i="1" s="1"/>
  <c r="AT291" i="4"/>
  <c r="K76" i="1" s="1"/>
  <c r="AS150" i="4"/>
  <c r="J74" i="1" s="1"/>
  <c r="AP150" i="4"/>
  <c r="G74" i="1" s="1"/>
  <c r="AQ150" i="4"/>
  <c r="H74" i="1" s="1"/>
  <c r="AO291" i="4"/>
  <c r="F76" i="1" s="1"/>
  <c r="AP291" i="4"/>
  <c r="G76" i="1" s="1"/>
  <c r="AQ291" i="4"/>
  <c r="H76" i="1" s="1"/>
  <c r="AV7" i="6"/>
  <c r="AV8" i="6" s="1"/>
  <c r="N129" i="1" s="1"/>
  <c r="AR150" i="4"/>
  <c r="I74" i="1" s="1"/>
  <c r="AR291" i="4"/>
  <c r="I76" i="1" s="1"/>
  <c r="N1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7C114AF-EB96-4567-AF7A-6973E4336527}" name="Connection" type="104" refreshedVersion="0" background="1">
    <extLst>
      <ext xmlns:x15="http://schemas.microsoft.com/office/spreadsheetml/2010/11/main" uri="{DE250136-89BD-433C-8126-D09CA5730AF9}">
        <x15:connection id="Winter bed occ over 14 days"/>
      </ext>
    </extLst>
  </connection>
  <connection id="2" xr16:uid="{B69F3CF8-5872-4CFD-B44A-FADED875466A}" name="e-base.nhsproviders.org" type="100" refreshedVersion="7">
    <extLst>
      <ext xmlns:x15="http://schemas.microsoft.com/office/spreadsheetml/2010/11/main" uri="{DE250136-89BD-433C-8126-D09CA5730AF9}">
        <x15:connection id="25cfafcb-a980-4142-878c-1dad5957934c"/>
      </ext>
    </extLst>
  </connection>
  <connection id="3" xr16:uid="{00000000-0015-0000-FFFF-FFFF00000000}" keepAlive="1" name="ThisWorkbookDataModel" description="This connection is used by Excel for communication between the workbook and embedded PowerPivot data, and should not be manually edited or deleted."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inter daily sitreps].[Year].&amp;[2021/22]}"/>
    <s v="{[COVID-19 daily discharge sitreps].[Year].[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<sst xmlns="http://schemas.openxmlformats.org/spreadsheetml/2006/main" count="3042" uniqueCount="383">
  <si>
    <t>Highest day</t>
  </si>
  <si>
    <t>London</t>
  </si>
  <si>
    <t>A&amp;E diverts</t>
  </si>
  <si>
    <t>Data notes</t>
  </si>
  <si>
    <t>G&amp;A bed occupancy</t>
  </si>
  <si>
    <t>No. trusts hit 100%</t>
  </si>
  <si>
    <t>No. trusts hit 85%</t>
  </si>
  <si>
    <t>No. trusts hit 95%</t>
  </si>
  <si>
    <t>Beds occ. by long stay</t>
  </si>
  <si>
    <t xml:space="preserve">   Over 7 days:</t>
  </si>
  <si>
    <t xml:space="preserve">   Over 21 days:</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</si>
  <si>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</si>
  <si>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</si>
  <si>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</si>
  <si>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</si>
  <si>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</si>
  <si>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</si>
  <si>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</si>
  <si>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</si>
  <si>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</si>
  <si>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</si>
  <si>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</si>
  <si>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</si>
  <si>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</si>
  <si>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</si>
  <si>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Definition: An A&amp;E divert is where new arrivals (e.g. ambulance arrivals) are being temporarily diverted to another hospital.</t>
  </si>
  <si>
    <t>Day with the most diverts</t>
  </si>
  <si>
    <t>Chart</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</si>
  <si>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</si>
  <si>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</si>
  <si>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</si>
  <si>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</si>
  <si>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</si>
  <si>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</si>
  <si>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</si>
  <si>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Total</t>
  </si>
  <si>
    <t>Sum of AE diverts</t>
  </si>
  <si>
    <t>Row Labels</t>
  </si>
  <si>
    <t>Grand Total</t>
  </si>
  <si>
    <t>Year</t>
  </si>
  <si>
    <t>All</t>
  </si>
  <si>
    <t>Column Labels</t>
  </si>
  <si>
    <t>Week 1</t>
  </si>
  <si>
    <t>Week 2</t>
  </si>
  <si>
    <t>Week 3</t>
  </si>
  <si>
    <t>Week 4</t>
  </si>
  <si>
    <t>Week 5</t>
  </si>
  <si>
    <t>Week 6</t>
  </si>
  <si>
    <t>Week 7</t>
  </si>
  <si>
    <t>Week 8</t>
  </si>
  <si>
    <t>Week 9</t>
  </si>
  <si>
    <t>Week 10</t>
  </si>
  <si>
    <t>Week 11</t>
  </si>
  <si>
    <t>Week 12</t>
  </si>
  <si>
    <t>Week 13</t>
  </si>
  <si>
    <t>Week 14</t>
  </si>
  <si>
    <t>Total Available</t>
  </si>
  <si>
    <t>Available</t>
  </si>
  <si>
    <t>Total Occupied</t>
  </si>
  <si>
    <t>Occupied</t>
  </si>
  <si>
    <t>Sum of Beds occ over 7 days</t>
  </si>
  <si>
    <t>Sum of Beds occ over 21 days</t>
  </si>
  <si>
    <t>Sum of Beds closed norovirus</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</si>
  <si>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</si>
  <si>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</si>
  <si>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</si>
  <si>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</si>
  <si>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</si>
  <si>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</si>
  <si>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BIRMINGHAM WOMEN'S AND CHILDREN'S NHS FOUNDATION TRUST</t>
  </si>
  <si>
    <t>BLACKPOOL TEACHING HOSPITALS NHS FOUNDATION TRUST</t>
  </si>
  <si>
    <t>BOLTON NHS FOUNDATION TRUST</t>
  </si>
  <si>
    <t>BRADFORD TEACHING HOSPITALS NHS FOUNDATION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</si>
  <si>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</si>
  <si>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</si>
  <si>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</si>
  <si>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</si>
  <si>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</si>
  <si>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</si>
  <si>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</si>
  <si>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</si>
  <si>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</si>
  <si>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</si>
  <si>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</si>
  <si>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</si>
  <si>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</si>
  <si>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</si>
  <si>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</si>
  <si>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</si>
  <si>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</si>
  <si>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</si>
  <si>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</si>
  <si>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</si>
  <si>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</si>
  <si>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</si>
  <si>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</si>
  <si>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</si>
  <si>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</si>
  <si>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</si>
  <si>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</si>
  <si>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</si>
  <si>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</si>
  <si>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</si>
  <si>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</si>
  <si>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</si>
  <si>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</si>
  <si>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</si>
  <si>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</si>
  <si>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MAIDSTONE AND TUNBRIDGE WELLS NHS TRUST</t>
  </si>
  <si>
    <t>MANCHESTER UNIVERSITY NHS FOUNDATION TRUST</t>
  </si>
  <si>
    <t>MEDWAY NHS FOUNDATION TRUST</t>
  </si>
  <si>
    <t>MID CHESHIRE HOSPITALS NHS FOUNDATION TRUST</t>
  </si>
  <si>
    <t>MID YORKSHIRE HOSPITALS NHS TRUST</t>
  </si>
  <si>
    <t>MILTON KEYNES UNIVERSITY HOSPITAL NHS FOUNDATION TRUST</t>
  </si>
  <si>
    <t>NORFOLK AND NORWICH UNIVERSITY HOSPITALS NHS FOUNDATION TRUST</t>
  </si>
  <si>
    <t>NORTH BRISTOL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</si>
  <si>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</si>
  <si>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</si>
  <si>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</si>
  <si>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</si>
  <si>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</si>
  <si>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</si>
  <si>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</si>
  <si>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</si>
  <si>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</si>
  <si>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ROYAL BERKSHIRE NHS FOUNDATION TRUST</t>
  </si>
  <si>
    <t>ROYAL CORNWALL HOSPITALS NHS TRUST</t>
  </si>
  <si>
    <t>ROYAL DEVON AND EXETER NHS FOUNDATION TRUST</t>
  </si>
  <si>
    <t>ROYAL FREE LONDON NHS FOUNDATION TRUST</t>
  </si>
  <si>
    <t>ROYAL UNITED HOSPITALS BATH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</si>
  <si>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</si>
  <si>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</si>
  <si>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</si>
  <si>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</si>
  <si>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</si>
  <si>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</si>
  <si>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</si>
  <si>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WARWICKSHIRE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</si>
  <si>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</si>
  <si>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</si>
  <si>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</si>
  <si>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</si>
  <si>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</si>
  <si>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</si>
  <si>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THE DUDLEY GROUP NHS FOUNDATION TRUST</t>
  </si>
  <si>
    <t>THE HILLINGDON HOSPITALS NHS FOUNDATION TRUST</t>
  </si>
  <si>
    <t>THE NEWCASTLE UPON TYNE HOSPITALS NHS FOUNDATION TRUST</t>
  </si>
  <si>
    <t>THE PRINCESS ALEXANDRA HOSPITAL NHS TRUST</t>
  </si>
  <si>
    <t>THE ROTHERHAM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</si>
  <si>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</si>
  <si>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</si>
  <si>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</si>
  <si>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</si>
  <si>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</si>
  <si>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</si>
  <si>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</si>
  <si>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</si>
  <si>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</si>
  <si>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</si>
  <si>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</si>
  <si>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WEST HERTFORDSHIRE HOSPITALS NHS TRUST</t>
  </si>
  <si>
    <t>WEST SUFFOLK NHS FOUNDATION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</si>
  <si>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</si>
  <si>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</si>
  <si>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</si>
  <si>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</si>
  <si>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</si>
  <si>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</si>
  <si>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</si>
  <si>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</si>
  <si>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</si>
  <si>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</si>
  <si>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</si>
  <si>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</si>
  <si>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</si>
  <si>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</si>
  <si>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</si>
  <si>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</si>
  <si>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</si>
  <si>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</si>
  <si>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</si>
  <si>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</si>
  <si>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</si>
  <si>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</si>
  <si>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</si>
  <si>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</si>
  <si>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</si>
  <si>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</si>
  <si>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</si>
  <si>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</si>
  <si>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</si>
  <si>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</si>
  <si>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</si>
  <si>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</si>
  <si>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</si>
  <si>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</si>
  <si>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</si>
  <si>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</si>
  <si>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</si>
  <si>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</si>
  <si>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</si>
  <si>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</si>
  <si>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</si>
  <si>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</si>
  <si>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</si>
  <si>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</si>
  <si>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</si>
  <si>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</si>
  <si>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</si>
  <si>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</si>
  <si>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</si>
  <si>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</si>
  <si>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</si>
  <si>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</si>
  <si>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</si>
  <si>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LONDON NORTH WEST UNIVERSITY HEALTHCARE NHS TRUST</t>
  </si>
  <si>
    <t>UNIVERSITY HOSPITALS PLYMOUTH NHS TRUST</t>
  </si>
  <si>
    <t>South East</t>
  </si>
  <si>
    <t>South West</t>
  </si>
  <si>
    <t>UNIVERSITY HOSPITALS OF DERBY AND BURTON NHS FOUNDATION TRUST</t>
  </si>
  <si>
    <t>Midlands</t>
  </si>
  <si>
    <t xml:space="preserve">South East </t>
  </si>
  <si>
    <t xml:space="preserve">South West </t>
  </si>
  <si>
    <t xml:space="preserve">   Over 14 days:</t>
  </si>
  <si>
    <t xml:space="preserve">Week </t>
  </si>
  <si>
    <t>Occupancy rate:</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</si>
  <si>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</si>
  <si>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</si>
  <si>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</si>
  <si>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</si>
  <si>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</si>
  <si>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</si>
  <si>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</si>
  <si>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</si>
  <si>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</si>
  <si>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</si>
  <si>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</si>
  <si>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</si>
  <si>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</si>
  <si>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</si>
  <si>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</si>
  <si>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</si>
  <si>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</si>
  <si>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 xml:space="preserve"> Core beds:</t>
  </si>
  <si>
    <t>The data shows the average number of patients per day with stays of 7, 14 and 21 days or more.</t>
  </si>
  <si>
    <t>Definition: Beds occupied by patients with a length of stay of 7, 14 and 21 days or more.</t>
  </si>
  <si>
    <t>Sum of Beds occ over 14 days 2</t>
  </si>
  <si>
    <t>19/20</t>
  </si>
  <si>
    <t>East of England</t>
  </si>
  <si>
    <t>North East &amp; Yorkshire</t>
  </si>
  <si>
    <t>North West</t>
  </si>
  <si>
    <t xml:space="preserve">North West </t>
  </si>
  <si>
    <t xml:space="preserve">East of England </t>
  </si>
  <si>
    <t>North East and Yorkshire</t>
  </si>
  <si>
    <t>EAST SUFFOLK AND NORTH ESSEX NHS FOUNDATION TRUST</t>
  </si>
  <si>
    <t>HULL UNIVERSITY TEACHING HOSPITALS NHS TRUST</t>
  </si>
  <si>
    <t>LIVERPOOL UNIVERSITY HOSPITALS NHS FOUNDATION TRUST</t>
  </si>
  <si>
    <t>THE QUEEN ELIZABETH HOSPITAL KING'S LYNN NHS FOUNDATION TRUST</t>
  </si>
  <si>
    <t>2019/20 weekly total</t>
  </si>
  <si>
    <t>2019/20 weekly total by region</t>
  </si>
  <si>
    <t>2019/20 - highest day</t>
  </si>
  <si>
    <t>2019/20 - no. zero days</t>
  </si>
  <si>
    <t>2019/20 daily average beds available</t>
  </si>
  <si>
    <t>2019/20 highest day</t>
  </si>
  <si>
    <t>2019/20 daily average beds available, by region</t>
  </si>
  <si>
    <t xml:space="preserve">2019/20 - G&amp;A weekly average bed occupancy </t>
  </si>
  <si>
    <t>2019/20 - weekly average bed occupancy, by region</t>
  </si>
  <si>
    <t xml:space="preserve">2019/20 - weekly total number of beds occ over 7 days </t>
  </si>
  <si>
    <t>2019/20 - weekly total number of beds occ over 21 days</t>
  </si>
  <si>
    <t>2019/20 - weekly total number of beds occ over 14 days</t>
  </si>
  <si>
    <t>2019/20 average daily beds closed</t>
  </si>
  <si>
    <t>2019/20 average daily beds closed, by region</t>
  </si>
  <si>
    <t>2019/20 no. trusts with beds closed</t>
  </si>
  <si>
    <t>2019/20 day with most beds closed</t>
  </si>
  <si>
    <t>2019/20 average daily beds closed unoccupied</t>
  </si>
  <si>
    <t>2019/20 with highest number closed unoccupied</t>
  </si>
  <si>
    <t>2019/20 average occupancy</t>
  </si>
  <si>
    <t>2019/20 average bed occupancy, by region</t>
  </si>
  <si>
    <t>2019/20 total ambulance arrivals, by region</t>
  </si>
  <si>
    <t>2019/20 ambulance handover delays, by region</t>
  </si>
  <si>
    <t>NORTH CUMBRIA INTEGRATED CARE NHS FOUNDATION TRUST</t>
  </si>
  <si>
    <t>SOUTH TYNESIDE AND SUNDERLAND NHS FOUNDATION TRUST</t>
  </si>
  <si>
    <t>East Of England</t>
  </si>
  <si>
    <t>20/21</t>
  </si>
  <si>
    <t>94,549 (24-Feb)</t>
  </si>
  <si>
    <t>4,872 (6-Jan)</t>
  </si>
  <si>
    <t>Bedfordshire Hospitals NHS Foundation Trust</t>
  </si>
  <si>
    <t>University Hospitals Bristol and Weston NHS Foundation Trust</t>
  </si>
  <si>
    <t>MID AND SOUTH ESSEX NHS FOUNDATION TRUST</t>
  </si>
  <si>
    <t>PORTSMOUTH HOSPITALS UNIVERSITY NHS TRUST</t>
  </si>
  <si>
    <t>WARRINGTON AND HALTON TEACHING HOSPITALS NHS FOUNDATION TRUST</t>
  </si>
  <si>
    <t>SOMERSET NHS FOUNDATION TRUST</t>
  </si>
  <si>
    <t>UNIVERSITY HOSPITALS DORSET NHS FOUNDATION TRUST</t>
  </si>
  <si>
    <t>-</t>
  </si>
  <si>
    <t>Beds occupied by COVID-19 patients</t>
  </si>
  <si>
    <t>21/22</t>
  </si>
  <si>
    <t>20 (11-Dec)</t>
  </si>
  <si>
    <t>8 out of 91 (9%)</t>
  </si>
  <si>
    <t xml:space="preserve">91,388 (13-Jan) </t>
  </si>
  <si>
    <t>357 (10-Jan)</t>
  </si>
  <si>
    <t xml:space="preserve">65 (02-Dec) </t>
  </si>
  <si>
    <t>Total beds occupied by confirmed COVID-19 patients:</t>
  </si>
  <si>
    <t>ENGLAND</t>
  </si>
  <si>
    <t>Week</t>
  </si>
  <si>
    <t>Average of ENGLAND</t>
  </si>
  <si>
    <t>Average of East of England</t>
  </si>
  <si>
    <t>Average of London</t>
  </si>
  <si>
    <t>Average of South West</t>
  </si>
  <si>
    <t>Average of South East</t>
  </si>
  <si>
    <t>Average of North West</t>
  </si>
  <si>
    <t>Average of North East and Yorkshire</t>
  </si>
  <si>
    <t>Average of Midlands</t>
  </si>
  <si>
    <t>Date</t>
  </si>
  <si>
    <t>2021/22 number of trusts closed unoccupied</t>
  </si>
  <si>
    <t>2021/22 daily beds closed unoccupied, by region</t>
  </si>
  <si>
    <t>2021/22 average occupancy</t>
  </si>
  <si>
    <t>2021/22 average occupancy, by region</t>
  </si>
  <si>
    <t>2021/22 daily average beds available</t>
  </si>
  <si>
    <t>Definition: The total number of beds occupied by patients with COVID-19 (as of 08:00)</t>
  </si>
  <si>
    <t xml:space="preserve">The data shows the average number of beds per day that are occupied by patients with COVID-19, as of 08:00 each day. 
</t>
  </si>
  <si>
    <r>
      <rPr>
        <sz val="10"/>
        <rFont val="Calibri"/>
        <family val="2"/>
        <scheme val="minor"/>
      </rPr>
      <t xml:space="preserve">The data shows the total (sum) of all diverts in a given week.  </t>
    </r>
    <r>
      <rPr>
        <sz val="10"/>
        <color theme="4"/>
        <rFont val="Calibri"/>
        <family val="2"/>
        <scheme val="minor"/>
      </rPr>
      <t xml:space="preserve">
</t>
    </r>
    <r>
      <rPr>
        <sz val="10"/>
        <rFont val="Calibri"/>
        <family val="2"/>
        <scheme val="minor"/>
      </rPr>
      <t>Total for 132 trusts in 2019/20, 127 in 2020/21 and 125 in 2021/22</t>
    </r>
  </si>
  <si>
    <r>
      <t xml:space="preserve">
</t>
    </r>
    <r>
      <rPr>
        <sz val="10"/>
        <rFont val="Calibri"/>
        <family val="2"/>
        <scheme val="minor"/>
      </rPr>
      <t>The data shows the daily average number of general and acute beds available, divided into core beds and escalation beds. As well as the day when the highest number of each bed type was available.</t>
    </r>
    <r>
      <rPr>
        <sz val="10"/>
        <color theme="4"/>
        <rFont val="Calibri"/>
        <family val="2"/>
        <scheme val="minor"/>
      </rPr>
      <t xml:space="preserve">
</t>
    </r>
    <r>
      <rPr>
        <sz val="10"/>
        <rFont val="Calibri"/>
        <family val="2"/>
        <scheme val="minor"/>
      </rPr>
      <t xml:space="preserve">Total for 132 trusts in 2019/20, 127 in 2020/21 and 125 in 2021/22
</t>
    </r>
    <r>
      <rPr>
        <sz val="10"/>
        <color theme="4"/>
        <rFont val="Calibri"/>
        <family val="2"/>
        <scheme val="minor"/>
      </rPr>
      <t xml:space="preserve">
Note that the vertical axis on the core beds and total beds charts do not start at zero.</t>
    </r>
  </si>
  <si>
    <r>
      <rPr>
        <sz val="10"/>
        <rFont val="Calibri"/>
        <family val="2"/>
        <scheme val="minor"/>
      </rPr>
      <t>The data shows the average number of beds per day that are closed and closed unoccupied due to D&amp;V/norovirus-like symptoms. It also shows the number of trusts with beds closed/beds closed unoccupied on at least one day that week and the day with the highest number of closures recorded.</t>
    </r>
    <r>
      <rPr>
        <sz val="10"/>
        <color theme="4"/>
        <rFont val="Calibri"/>
        <family val="2"/>
        <scheme val="minor"/>
      </rPr>
      <t xml:space="preserve">
</t>
    </r>
    <r>
      <rPr>
        <sz val="10"/>
        <rFont val="Calibri"/>
        <family val="2"/>
        <scheme val="minor"/>
      </rPr>
      <t>Total for 132 trusts in 2019/20, 127 in 2020/21 and 125 in 2021/22</t>
    </r>
  </si>
  <si>
    <r>
      <t xml:space="preserve">The data shows the daily average percentage of adult critical care beds that are occupied. As well as the daily average number of adult critical care beds available (total number of beds minus number of occupied beds) each day.
</t>
    </r>
    <r>
      <rPr>
        <sz val="10"/>
        <rFont val="Calibri"/>
        <family val="2"/>
        <scheme val="minor"/>
      </rPr>
      <t>Total for 132 trusts in 2019/20, 127 in 2020/21 and 125 in 2021/22</t>
    </r>
    <r>
      <rPr>
        <sz val="10"/>
        <color theme="1"/>
        <rFont val="Calibri"/>
        <family val="2"/>
        <scheme val="minor"/>
      </rPr>
      <t xml:space="preserve">
Note that the vertical axis on the chart does not start at zero.</t>
    </r>
  </si>
  <si>
    <r>
      <t xml:space="preserve">The data shows the daily average percentage of paediatric intensive care beds that are occupied. As well as the daily average number of paediatric intensive care beds available (total number of beds minus number of occupied beds) each day.
</t>
    </r>
    <r>
      <rPr>
        <sz val="10"/>
        <rFont val="Calibri"/>
        <family val="2"/>
        <scheme val="minor"/>
      </rPr>
      <t>Available beds total for 132 trusts in 2019/20, 127 trusts in 2020/21 and 125 trusts in 2021/22</t>
    </r>
    <r>
      <rPr>
        <sz val="10"/>
        <color theme="1"/>
        <rFont val="Calibri"/>
        <family val="2"/>
        <scheme val="minor"/>
      </rPr>
      <t xml:space="preserve">
Note that the vertical axis on the chart does not start at zero.</t>
    </r>
  </si>
  <si>
    <r>
      <t xml:space="preserve">The data shows the daily average percentage of neonatal intensive care beds that are occupied. As well as the daily average number of neonatal intensive care beds available (total number of beds minus number of occupied beds) each day.
</t>
    </r>
    <r>
      <rPr>
        <sz val="10"/>
        <rFont val="Calibri"/>
        <family val="2"/>
        <scheme val="minor"/>
      </rPr>
      <t>Available beds total for 132 trusts in 2019/20, 127 trusts in 2020/21 and 125 trusts in 2021/22</t>
    </r>
    <r>
      <rPr>
        <sz val="10"/>
        <color theme="1"/>
        <rFont val="Calibri"/>
        <family val="2"/>
        <scheme val="minor"/>
      </rPr>
      <t xml:space="preserve">
Note that the vertical axis on the chart does not start at zero.</t>
    </r>
  </si>
  <si>
    <t>Flu</t>
  </si>
  <si>
    <t xml:space="preserve">    G&amp;A flu beds</t>
  </si>
  <si>
    <t>RSV</t>
  </si>
  <si>
    <t xml:space="preserve">    Critical care flu beds</t>
  </si>
  <si>
    <t xml:space="preserve">    Paediatric beds closed</t>
  </si>
  <si>
    <t xml:space="preserve">    Paediatric beds closed unoccupied</t>
  </si>
  <si>
    <t>Definition: The number of general and acute beds occupied by flu patients and the number of critical care beds occupied by flu patients</t>
  </si>
  <si>
    <t xml:space="preserve">Definition: The percentage of all open general and acute beds (core bed stock and escalation beds) that are occupied.This includes both adult and paediatric beds. </t>
  </si>
  <si>
    <t>2021/22</t>
  </si>
  <si>
    <t>NORTHERN CARE ALLIANCE NHS FOUNDATION TRUST</t>
  </si>
  <si>
    <t>ROYAL SURREY COUNTY HOSPITAL NHS FOUNDATION TRUST</t>
  </si>
  <si>
    <t>UNIVERSITY HOSPITALS SUSSEX NHS FOUNDATION TRUST</t>
  </si>
  <si>
    <t>YORK AND SCARBOROUGH TEACHING HOSPITALS NHS FOUNDATION TRUST</t>
  </si>
  <si>
    <t>Sum of GA flu beds</t>
  </si>
  <si>
    <t>Sum of CC flu beds</t>
  </si>
  <si>
    <t>Sum of Paeds RSV beds closed</t>
  </si>
  <si>
    <t>Sum of Paeds RSV beds closed unocc</t>
  </si>
  <si>
    <t xml:space="preserve">The data shows the total number of paediatric beds closed due to to RSV and the total number of paediatric beds closed unoccupied due to RSV. 
</t>
  </si>
  <si>
    <t>Definition: Paediatric beds closed: When paediatric patients are subject to infection control measures related to RSV which would result in beds in the same bay being closed for new admissions with the possible exception of patients with the same infection.
Paediatric beds closed unoccupied: Beds unavailable to NON-RSV patients</t>
  </si>
  <si>
    <t xml:space="preserve">The data shows the total number of G&amp;A beds occupied by flu patients and the total number of critical care beds occupied by flu patients. 
</t>
  </si>
  <si>
    <t xml:space="preserve">1. The data below summarises the weekly winter sitrep data published by NHS England. 
2. Where possible the data has been compared to the closest week in 2020/21. 
3. In 2021/22 there are 125 trusts reporting in the weekly winter sitreps, compared to 127 in 2020/21. Comparisons with 2020/21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t>
  </si>
  <si>
    <t>EAST OF ENGLAND</t>
  </si>
  <si>
    <t>LONDON</t>
  </si>
  <si>
    <t>MIDLANDS</t>
  </si>
  <si>
    <t>NORTH EAST AND YORKSHIRE</t>
  </si>
  <si>
    <t>NORTH WEST</t>
  </si>
  <si>
    <t>SOUTH EAST</t>
  </si>
  <si>
    <t>SOUTH WEST</t>
  </si>
  <si>
    <t>Sum of Patients remaining in hospital who no longer meet the criteria to reside</t>
  </si>
  <si>
    <t>Sum of Patients who no longer meet the criteria to reside</t>
  </si>
  <si>
    <t>Average remaining in hospital</t>
  </si>
  <si>
    <t>Average no longer need to reside</t>
  </si>
  <si>
    <t>Total Average no longer need to reside</t>
  </si>
  <si>
    <t>Total Average remaining in hospital</t>
  </si>
  <si>
    <t>% of patients remaining in hospital who no longer meet the criteria to reside</t>
  </si>
  <si>
    <t xml:space="preserve">The data shows the percentage of patients remaining in hospital who no longer meet the criteria to reside
</t>
  </si>
  <si>
    <t>Week 2 Total</t>
  </si>
  <si>
    <t>Week 3 Total</t>
  </si>
  <si>
    <t>Week 4 Total</t>
  </si>
  <si>
    <t>Week 5 Total</t>
  </si>
  <si>
    <t>Week 6 Total</t>
  </si>
  <si>
    <t>Patient discharges</t>
  </si>
  <si>
    <t>% of adult critical care and COVID-19 positive patients remaining in hospital:</t>
  </si>
  <si>
    <t>Adult critical care and COVID-19 positive patients in hospital who no longer need to reside:</t>
  </si>
  <si>
    <t>Definition: Adult critical care and COVID-19 positive patients who no longer meet the criteria to reside but still remain in hospital. This excludes paediatrics, maternity, and deceased patients.</t>
  </si>
  <si>
    <t>Week 7 Total</t>
  </si>
  <si>
    <t>Week 8 Total</t>
  </si>
  <si>
    <t>Adult critical care and COVID-19 positive patients remaining in hospital who no longer need to reside:</t>
  </si>
  <si>
    <t>Definition: The number of adult critical care and COVID-19 positive patients who no longer meet the criteria to reside.</t>
  </si>
  <si>
    <t xml:space="preserve">The data shows the average number of patients, per day, who no longer meet the criteria to reside
</t>
  </si>
  <si>
    <t xml:space="preserve">The data shows the average number of patients, per day, remaining in hospital when they no longer meet the criteria to reside
</t>
  </si>
  <si>
    <t xml:space="preserve">Definition: The number of adult critical care and COVID-19 positive patients who no longer meet the criteria to reside but remain in hospital (delayed discharges). </t>
  </si>
  <si>
    <t>Week 9 Total</t>
  </si>
  <si>
    <t>Week 10 Total</t>
  </si>
  <si>
    <t>Week 11 Total</t>
  </si>
  <si>
    <t>Week 12 Total</t>
  </si>
  <si>
    <t>Week 13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</si>
</sst>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
      <b/>
      <sz val="14"/>
      <color theme="0"/>
      <name val="Calibri"/>
      <family val="2"/>
      <scheme val="minor"/>
    </font>
    <font>
      <sz val="11"/>
      <name val="Calibri"/>
      <family val="2"/>
      <scheme val="minor"/>
    </font>
    <font>
      <sz val="11"/>
      <color theme="5"/>
      <name val="Calibri"/>
      <family val="2"/>
      <scheme val="minor"/>
    </font>
    <font>
      <b/>
      <sz val="10"/>
      <color rgb="FF095BA6"/>
      <name val="Verdana"/>
      <family val="2"/>
    </font>
    <font>
      <b/>
      <sz val="10"/>
      <name val="Verdana"/>
      <family val="2"/>
    </font>
    <font>
      <sz val="10"/>
      <name val="Verdana"/>
      <family val="2"/>
    </font>
    <font>
      <sz val="8"/>
      <name val="Calibri"/>
      <family val="2"/>
      <scheme val="minor"/>
    </font>
    <font>
      <sz val="11"/>
      <color theme="7" tint="-0.499984740745262"/>
      <name val="Calibri"/>
      <family val="2"/>
      <scheme val="minor"/>
    </font>
    <font>
      <sz val="10"/>
      <color theme="4"/>
      <name val="Calibri"/>
      <family val="2"/>
      <scheme val="minor"/>
    </font>
    <font>
      <sz val="10"/>
      <name val="Calibri"/>
      <family val="2"/>
      <scheme val="minor"/>
    </font>
  </fonts>
  <fills count="15">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
      <patternFill patternType="solid">
        <fgColor theme="6" tint="0.79998168889431442"/>
        <bgColor indexed="64"/>
      </patternFill>
    </fill>
    <fill>
      <patternFill patternType="solid">
        <fgColor rgb="FFEDF3F9"/>
        <bgColor rgb="FF000000"/>
      </patternFill>
    </fill>
    <fill>
      <patternFill patternType="solid">
        <fgColor rgb="FF00A89C"/>
        <bgColor indexed="64"/>
      </patternFill>
    </fill>
    <fill>
      <patternFill patternType="solid">
        <fgColor indexed="9"/>
        <bgColor indexed="64"/>
      </patternFill>
    </fill>
  </fills>
  <borders count="13">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indexed="64"/>
      </top>
      <bottom style="thin">
        <color theme="2" tint="-0.2499465926084170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199">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6"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9" fillId="0" borderId="0" xfId="0" applyNumberFormat="1" applyFont="1" applyAlignment="1">
      <alignment horizontal="center"/>
    </xf>
    <xf numFmtId="0" fontId="10"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1" fontId="3" fillId="3" borderId="1" xfId="1" applyNumberFormat="1" applyFont="1" applyFill="1" applyBorder="1" applyAlignment="1">
      <alignment horizontal="center"/>
    </xf>
    <xf numFmtId="10" fontId="11" fillId="0" borderId="0" xfId="0" applyNumberFormat="1" applyFont="1"/>
    <xf numFmtId="164" fontId="0" fillId="0" borderId="0" xfId="0" applyNumberFormat="1"/>
    <xf numFmtId="9" fontId="2" fillId="0" borderId="0" xfId="0" applyNumberFormat="1" applyFont="1" applyAlignment="1">
      <alignment horizontal="right"/>
    </xf>
    <xf numFmtId="164" fontId="8"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2" fillId="0" borderId="0" xfId="0" applyFont="1"/>
    <xf numFmtId="0" fontId="4" fillId="0" borderId="0" xfId="0" applyFont="1" applyFill="1"/>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6" fillId="0" borderId="0" xfId="0" applyFont="1" applyAlignment="1">
      <alignment horizontal="left" vertical="top" wrapText="1"/>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3"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6" borderId="5" xfId="0" applyNumberFormat="1" applyFont="1" applyFill="1" applyBorder="1" applyAlignment="1">
      <alignment horizontal="center"/>
    </xf>
    <xf numFmtId="164" fontId="2" fillId="7" borderId="5" xfId="1" applyNumberFormat="1" applyFont="1" applyFill="1" applyBorder="1" applyAlignment="1">
      <alignment horizontal="center"/>
    </xf>
    <xf numFmtId="0" fontId="0" fillId="0" borderId="0" xfId="0" applyFont="1" applyAlignment="1">
      <alignment horizontal="right"/>
    </xf>
    <xf numFmtId="164" fontId="13" fillId="0" borderId="0" xfId="1" applyNumberFormat="1" applyFont="1" applyFill="1" applyBorder="1" applyAlignment="1">
      <alignment horizontal="center"/>
    </xf>
    <xf numFmtId="3" fontId="13" fillId="0" borderId="0" xfId="1" applyNumberFormat="1" applyFont="1" applyFill="1" applyBorder="1" applyAlignment="1">
      <alignment horizontal="center"/>
    </xf>
    <xf numFmtId="1" fontId="0" fillId="8" borderId="0" xfId="0" applyNumberFormat="1" applyFill="1" applyAlignment="1">
      <alignment horizontal="center"/>
    </xf>
    <xf numFmtId="1" fontId="0" fillId="9" borderId="0" xfId="0" applyNumberFormat="1" applyFill="1" applyAlignment="1">
      <alignment horizontal="center"/>
    </xf>
    <xf numFmtId="0" fontId="2" fillId="0" borderId="0" xfId="0" applyFont="1" applyFill="1" applyBorder="1" applyAlignment="1">
      <alignment horizontal="center"/>
    </xf>
    <xf numFmtId="0" fontId="13" fillId="0" borderId="0" xfId="0" applyFont="1" applyFill="1" applyBorder="1" applyAlignment="1">
      <alignment horizontal="center"/>
    </xf>
    <xf numFmtId="0" fontId="3" fillId="3" borderId="5" xfId="0" applyFont="1" applyFill="1" applyBorder="1" applyAlignment="1">
      <alignment horizontal="center"/>
    </xf>
    <xf numFmtId="0" fontId="2" fillId="10" borderId="0" xfId="0" applyFont="1" applyFill="1" applyBorder="1" applyAlignment="1"/>
    <xf numFmtId="0" fontId="0" fillId="10" borderId="0" xfId="0" applyFont="1" applyFill="1" applyBorder="1"/>
    <xf numFmtId="3" fontId="2" fillId="10" borderId="0" xfId="0" applyNumberFormat="1" applyFont="1" applyFill="1" applyBorder="1" applyAlignment="1">
      <alignment horizontal="center"/>
    </xf>
    <xf numFmtId="3" fontId="13" fillId="10" borderId="0" xfId="0" applyNumberFormat="1" applyFont="1" applyFill="1" applyBorder="1" applyAlignment="1">
      <alignment horizontal="center"/>
    </xf>
    <xf numFmtId="2" fontId="2" fillId="10" borderId="0" xfId="0" applyNumberFormat="1" applyFont="1" applyFill="1" applyBorder="1" applyAlignment="1"/>
    <xf numFmtId="164" fontId="2" fillId="10" borderId="0" xfId="0" applyNumberFormat="1" applyFont="1" applyFill="1" applyBorder="1" applyAlignment="1">
      <alignment horizontal="center"/>
    </xf>
    <xf numFmtId="164" fontId="13" fillId="10" borderId="0" xfId="0" applyNumberFormat="1" applyFont="1" applyFill="1" applyBorder="1" applyAlignment="1">
      <alignment horizontal="center"/>
    </xf>
    <xf numFmtId="0" fontId="0" fillId="10" borderId="0" xfId="0" applyFill="1" applyBorder="1"/>
    <xf numFmtId="1" fontId="2" fillId="10" borderId="0" xfId="0" applyNumberFormat="1" applyFont="1" applyFill="1" applyBorder="1" applyAlignment="1">
      <alignment horizontal="center"/>
    </xf>
    <xf numFmtId="3" fontId="3" fillId="10"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0" borderId="0" xfId="0" applyFont="1" applyFill="1" applyBorder="1" applyAlignment="1">
      <alignment horizontal="center"/>
    </xf>
    <xf numFmtId="3" fontId="2" fillId="10" borderId="0" xfId="0" applyNumberFormat="1" applyFont="1" applyFill="1" applyBorder="1" applyAlignment="1"/>
    <xf numFmtId="1" fontId="13" fillId="10" borderId="0" xfId="0" applyNumberFormat="1" applyFont="1" applyFill="1" applyBorder="1" applyAlignment="1">
      <alignment horizontal="center"/>
    </xf>
    <xf numFmtId="164" fontId="2" fillId="10" borderId="0" xfId="1" applyNumberFormat="1" applyFont="1" applyFill="1" applyBorder="1" applyAlignment="1">
      <alignment horizontal="center"/>
    </xf>
    <xf numFmtId="164" fontId="13" fillId="10" borderId="0" xfId="1" applyNumberFormat="1" applyFont="1" applyFill="1" applyBorder="1" applyAlignment="1">
      <alignment horizontal="center"/>
    </xf>
    <xf numFmtId="1" fontId="14" fillId="10" borderId="0"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3"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0" fontId="2" fillId="2" borderId="5" xfId="0"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3" fontId="0" fillId="0" borderId="0" xfId="0" applyNumberFormat="1"/>
    <xf numFmtId="3" fontId="6" fillId="0" borderId="0" xfId="0" applyNumberFormat="1" applyFont="1" applyAlignment="1">
      <alignment horizontal="left" vertical="top" wrapText="1"/>
    </xf>
    <xf numFmtId="0" fontId="0" fillId="10" borderId="0" xfId="0" applyFill="1"/>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0" fontId="7" fillId="0" borderId="0" xfId="0" applyFont="1" applyAlignment="1">
      <alignment horizontal="left" vertical="top" wrapText="1"/>
    </xf>
    <xf numFmtId="0" fontId="6" fillId="0" borderId="0" xfId="0" applyFont="1" applyAlignment="1">
      <alignment horizontal="left" vertical="top" wrapText="1"/>
    </xf>
    <xf numFmtId="0" fontId="2" fillId="5" borderId="0" xfId="0" applyFont="1" applyFill="1" applyAlignment="1">
      <alignment horizontal="center" vertical="top"/>
    </xf>
    <xf numFmtId="0" fontId="0" fillId="0" borderId="0" xfId="0" applyAlignment="1">
      <alignment horizontal="center"/>
    </xf>
    <xf numFmtId="3"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8" borderId="0" xfId="0" applyFill="1"/>
    <xf numFmtId="0" fontId="2" fillId="5" borderId="0" xfId="0" applyFont="1" applyFill="1" applyAlignment="1">
      <alignment horizontal="center"/>
    </xf>
    <xf numFmtId="0" fontId="2" fillId="5" borderId="0" xfId="0" applyFont="1" applyFill="1" applyAlignment="1">
      <alignment horizontal="center" vertical="top"/>
    </xf>
    <xf numFmtId="0" fontId="16" fillId="0" borderId="0" xfId="0" applyFont="1"/>
    <xf numFmtId="1" fontId="11" fillId="0" borderId="0" xfId="0" applyNumberFormat="1" applyFont="1"/>
    <xf numFmtId="164" fontId="11" fillId="0" borderId="0" xfId="1" applyNumberFormat="1" applyFont="1"/>
    <xf numFmtId="0" fontId="11" fillId="0" borderId="0" xfId="0" applyFont="1"/>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11" fillId="0" borderId="0" xfId="1" applyNumberFormat="1" applyFont="1" applyFill="1" applyBorder="1" applyAlignment="1">
      <alignment horizontal="center"/>
    </xf>
    <xf numFmtId="0" fontId="11" fillId="0" borderId="0" xfId="0" applyFont="1" applyFill="1" applyBorder="1"/>
    <xf numFmtId="14" fontId="0" fillId="0" borderId="0" xfId="0" applyNumberFormat="1" applyAlignment="1">
      <alignment horizontal="left"/>
    </xf>
    <xf numFmtId="164" fontId="11" fillId="0" borderId="0" xfId="1" applyNumberFormat="1" applyFont="1" applyFill="1" applyBorder="1" applyAlignment="1">
      <alignment horizontal="center"/>
    </xf>
    <xf numFmtId="164" fontId="3" fillId="3" borderId="5" xfId="1" applyNumberFormat="1" applyFont="1" applyFill="1" applyBorder="1" applyAlignment="1">
      <alignment horizontal="center"/>
    </xf>
    <xf numFmtId="1" fontId="3" fillId="3" borderId="5" xfId="0" applyNumberFormat="1" applyFont="1" applyFill="1" applyBorder="1" applyAlignment="1">
      <alignment horizontal="center"/>
    </xf>
    <xf numFmtId="3" fontId="3" fillId="3" borderId="5" xfId="0" applyNumberFormat="1" applyFont="1" applyFill="1" applyBorder="1" applyAlignment="1">
      <alignment horizontal="center"/>
    </xf>
    <xf numFmtId="164" fontId="3" fillId="3" borderId="5" xfId="0" applyNumberFormat="1" applyFont="1" applyFill="1" applyBorder="1" applyAlignment="1">
      <alignment horizontal="center"/>
    </xf>
    <xf numFmtId="1" fontId="11" fillId="0" borderId="0" xfId="1" applyNumberFormat="1" applyFont="1" applyFill="1" applyBorder="1" applyAlignment="1">
      <alignment horizontal="center"/>
    </xf>
    <xf numFmtId="1" fontId="3" fillId="3" borderId="5" xfId="1" applyNumberFormat="1" applyFont="1" applyFill="1" applyBorder="1" applyAlignment="1">
      <alignment horizontal="center"/>
    </xf>
    <xf numFmtId="3" fontId="17" fillId="11" borderId="5" xfId="0" applyNumberFormat="1" applyFont="1" applyFill="1" applyBorder="1" applyAlignment="1">
      <alignment horizontal="center"/>
    </xf>
    <xf numFmtId="3" fontId="2" fillId="2" borderId="5" xfId="0" applyNumberFormat="1" applyFont="1" applyFill="1" applyBorder="1" applyAlignment="1">
      <alignment horizontal="center"/>
    </xf>
    <xf numFmtId="49" fontId="2" fillId="2" borderId="5" xfId="0" applyNumberFormat="1" applyFont="1" applyFill="1" applyBorder="1" applyAlignment="1">
      <alignment horizontal="center"/>
    </xf>
    <xf numFmtId="3" fontId="14" fillId="2" borderId="5" xfId="0" applyNumberFormat="1" applyFont="1" applyFill="1" applyBorder="1" applyAlignment="1">
      <alignment horizontal="center"/>
    </xf>
    <xf numFmtId="164" fontId="3" fillId="3" borderId="10" xfId="1" applyNumberFormat="1" applyFont="1" applyFill="1" applyBorder="1" applyAlignment="1">
      <alignment horizontal="center"/>
    </xf>
    <xf numFmtId="15" fontId="18" fillId="12" borderId="5" xfId="0" applyNumberFormat="1" applyFont="1" applyFill="1" applyBorder="1" applyAlignment="1">
      <alignment vertical="center" wrapText="1"/>
    </xf>
    <xf numFmtId="3" fontId="19" fillId="0" borderId="5" xfId="0" applyNumberFormat="1" applyFont="1" applyBorder="1" applyAlignment="1">
      <alignment horizontal="right"/>
    </xf>
    <xf numFmtId="3" fontId="20" fillId="0" borderId="9" xfId="0" applyNumberFormat="1" applyFont="1" applyBorder="1" applyAlignment="1">
      <alignment horizontal="right"/>
    </xf>
    <xf numFmtId="3" fontId="20" fillId="0" borderId="11" xfId="0" applyNumberFormat="1" applyFont="1" applyBorder="1" applyAlignment="1">
      <alignment horizontal="right"/>
    </xf>
    <xf numFmtId="3" fontId="20" fillId="0" borderId="12" xfId="0" applyNumberFormat="1" applyFont="1" applyBorder="1" applyAlignment="1">
      <alignment horizontal="right"/>
    </xf>
    <xf numFmtId="0" fontId="18" fillId="12" borderId="5" xfId="0" applyFont="1" applyFill="1" applyBorder="1" applyAlignment="1">
      <alignment vertical="center"/>
    </xf>
    <xf numFmtId="0" fontId="19" fillId="0" borderId="5" xfId="0" applyFont="1" applyBorder="1" applyAlignment="1">
      <alignment vertical="center"/>
    </xf>
    <xf numFmtId="0" fontId="19" fillId="0" borderId="9" xfId="0" applyFont="1" applyBorder="1" applyAlignment="1">
      <alignment vertical="center"/>
    </xf>
    <xf numFmtId="0" fontId="19" fillId="0" borderId="11" xfId="0" applyFont="1" applyBorder="1" applyAlignment="1">
      <alignment vertical="center"/>
    </xf>
    <xf numFmtId="0" fontId="19" fillId="0" borderId="12" xfId="0" applyFont="1" applyBorder="1" applyAlignment="1">
      <alignment vertical="center"/>
    </xf>
    <xf numFmtId="0" fontId="18" fillId="12" borderId="5" xfId="0" applyNumberFormat="1" applyFont="1" applyFill="1" applyBorder="1" applyAlignment="1">
      <alignment vertical="center" wrapText="1"/>
    </xf>
    <xf numFmtId="3" fontId="20" fillId="0" borderId="0" xfId="0" applyNumberFormat="1" applyFont="1" applyFill="1" applyBorder="1" applyAlignment="1">
      <alignment horizontal="right"/>
    </xf>
    <xf numFmtId="0" fontId="18" fillId="12" borderId="11" xfId="0" applyNumberFormat="1" applyFont="1" applyFill="1" applyBorder="1" applyAlignment="1">
      <alignment vertical="center" wrapText="1"/>
    </xf>
    <xf numFmtId="0" fontId="6" fillId="0" borderId="0" xfId="0" applyFont="1" applyAlignment="1">
      <alignment horizontal="left" vertical="top" wrapText="1"/>
    </xf>
    <xf numFmtId="0" fontId="15" fillId="13" borderId="0" xfId="0" applyFont="1" applyFill="1" applyAlignment="1">
      <alignment horizontal="center" vertical="center" textRotation="90"/>
    </xf>
    <xf numFmtId="0" fontId="22" fillId="5" borderId="5" xfId="0" applyFont="1" applyFill="1" applyBorder="1" applyAlignment="1">
      <alignment horizontal="center"/>
    </xf>
    <xf numFmtId="3" fontId="22" fillId="5" borderId="5" xfId="0" applyNumberFormat="1" applyFont="1" applyFill="1" applyBorder="1" applyAlignment="1">
      <alignment horizontal="center"/>
    </xf>
    <xf numFmtId="164" fontId="22" fillId="5" borderId="5" xfId="0" applyNumberFormat="1" applyFont="1" applyFill="1" applyBorder="1" applyAlignment="1">
      <alignment horizontal="center"/>
    </xf>
    <xf numFmtId="1" fontId="22" fillId="5" borderId="5" xfId="0" applyNumberFormat="1" applyFont="1" applyFill="1" applyBorder="1" applyAlignment="1">
      <alignment horizontal="center"/>
    </xf>
    <xf numFmtId="164" fontId="22" fillId="5" borderId="5" xfId="1" applyNumberFormat="1" applyFont="1" applyFill="1" applyBorder="1" applyAlignment="1">
      <alignment horizontal="center"/>
    </xf>
    <xf numFmtId="3" fontId="22" fillId="5" borderId="5" xfId="1" applyNumberFormat="1" applyFont="1" applyFill="1" applyBorder="1" applyAlignment="1">
      <alignment horizontal="center"/>
    </xf>
    <xf numFmtId="0" fontId="23" fillId="0" borderId="0" xfId="0" applyFont="1" applyAlignment="1">
      <alignment vertical="top" wrapText="1"/>
    </xf>
    <xf numFmtId="3" fontId="2" fillId="10" borderId="5" xfId="1" applyNumberFormat="1" applyFont="1" applyFill="1" applyBorder="1" applyAlignment="1">
      <alignment horizontal="center"/>
    </xf>
    <xf numFmtId="3" fontId="2" fillId="10" borderId="0" xfId="1" applyNumberFormat="1" applyFont="1" applyFill="1" applyBorder="1" applyAlignment="1">
      <alignment horizontal="center"/>
    </xf>
    <xf numFmtId="1" fontId="22" fillId="10" borderId="0" xfId="0" applyNumberFormat="1" applyFont="1" applyFill="1" applyBorder="1" applyAlignment="1">
      <alignment horizontal="center"/>
    </xf>
    <xf numFmtId="0" fontId="0" fillId="14" borderId="0" xfId="0" applyFill="1"/>
    <xf numFmtId="0" fontId="0" fillId="0" borderId="0" xfId="0" applyAlignment="1">
      <alignment horizontal="center"/>
    </xf>
    <xf numFmtId="0" fontId="4" fillId="0" borderId="0" xfId="0" applyFont="1" applyAlignment="1">
      <alignment wrapText="1"/>
    </xf>
    <xf numFmtId="0" fontId="4" fillId="0" borderId="0" xfId="0" applyFont="1" applyAlignment="1">
      <alignment horizontal="right" wrapText="1"/>
    </xf>
    <xf numFmtId="3" fontId="0" fillId="0" borderId="0" xfId="1" applyNumberFormat="1" applyFont="1"/>
    <xf numFmtId="0" fontId="0" fillId="0" borderId="0" xfId="0" applyAlignment="1">
      <alignment horizontal="center"/>
    </xf>
    <xf numFmtId="0" fontId="15" fillId="13" borderId="0" xfId="0" applyFont="1" applyFill="1" applyAlignment="1">
      <alignment horizontal="center" vertical="center" textRotation="90"/>
    </xf>
    <xf numFmtId="0" fontId="7" fillId="0" borderId="0" xfId="0" applyFont="1" applyAlignment="1">
      <alignment horizontal="left" vertical="top" wrapText="1"/>
    </xf>
    <xf numFmtId="0" fontId="24" fillId="0" borderId="0" xfId="0" applyFont="1" applyAlignment="1">
      <alignment horizontal="center" vertical="top" wrapText="1"/>
    </xf>
    <xf numFmtId="0" fontId="6" fillId="0" borderId="0" xfId="0" applyFont="1" applyAlignment="1">
      <alignment horizontal="left" vertical="top" wrapText="1"/>
    </xf>
    <xf numFmtId="0" fontId="0" fillId="3" borderId="0" xfId="0" applyFill="1" applyAlignment="1">
      <alignment horizontal="left" vertical="center" wrapText="1"/>
    </xf>
    <xf numFmtId="0" fontId="23" fillId="0" borderId="0" xfId="0" applyFont="1" applyAlignment="1">
      <alignment horizontal="left" vertical="top" wrapText="1"/>
    </xf>
    <xf numFmtId="0" fontId="3" fillId="3" borderId="5" xfId="0" applyFont="1" applyFill="1" applyBorder="1" applyAlignment="1">
      <alignment horizontal="center"/>
    </xf>
    <xf numFmtId="2" fontId="2" fillId="2" borderId="5" xfId="0" applyNumberFormat="1" applyFont="1" applyFill="1" applyBorder="1" applyAlignment="1">
      <alignment horizontal="center"/>
    </xf>
    <xf numFmtId="0" fontId="2" fillId="2" borderId="5" xfId="0" applyFont="1" applyFill="1" applyBorder="1" applyAlignment="1">
      <alignment horizontal="center"/>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3" borderId="8" xfId="0" applyFont="1" applyFill="1" applyBorder="1" applyAlignment="1">
      <alignment horizontal="center"/>
    </xf>
    <xf numFmtId="0" fontId="4" fillId="0" borderId="0" xfId="0" applyFont="1" applyAlignment="1">
      <alignment horizontal="center"/>
    </xf>
    <xf numFmtId="0" fontId="0" fillId="2"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xf numFmtId="0" fontId="0" fillId="5" borderId="0" xfId="0" applyFill="1" applyAlignment="1">
      <alignment horizontal="center"/>
    </xf>
    <xf numFmtId="0" fontId="24" fillId="0" borderId="0" xfId="0" applyFont="1" applyAlignment="1">
      <alignment vertical="top" wrapText="1"/>
    </xf>
    <xf numFmtId="0" fontId="24" fillId="0" borderId="0" xfId="0" applyFont="1" applyAlignment="1">
      <alignment horizontal="left" vertical="top" wrapText="1"/>
    </xf>
    <xf numFmtId="0" fontId="7" fillId="0" borderId="0" xfId="0" applyFont="1" applyAlignment="1">
      <alignment vertical="top" wrapText="1"/>
    </xf>
  </cellXfs>
  <cellStyles count="2">
    <cellStyle name="Normal" xfId="0" builtinId="0"/>
    <cellStyle name="Percent" xfId="1" builtinId="5"/>
  </cellStyles>
  <dxfs count="7">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2" defaultPivotStyle="PivotStyleLight16"/>
  <colors>
    <mruColors>
      <color rgb="FF00A89C"/>
      <color rgb="FFFBABC6"/>
      <color rgb="FF79062B"/>
      <color rgb="FF8BFFD6"/>
      <color rgb="FF00633F"/>
      <color rgb="FF9BFFF8"/>
      <color rgb="FF00D2C3"/>
      <color rgb="FFF0532D"/>
      <color rgb="FFE15C6D"/>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47.xml"/><Relationship Id="rId21" Type="http://schemas.openxmlformats.org/officeDocument/2006/relationships/pivotCacheDefinition" Target="pivotCache/pivotCacheDefinition6.xml"/><Relationship Id="rId42" Type="http://schemas.openxmlformats.org/officeDocument/2006/relationships/pivotCacheDefinition" Target="pivotCache/pivotCacheDefinition27.xml"/><Relationship Id="rId63" Type="http://schemas.openxmlformats.org/officeDocument/2006/relationships/pivotCacheDefinition" Target="pivotCache/pivotCacheDefinition48.xml"/><Relationship Id="rId84" Type="http://schemas.openxmlformats.org/officeDocument/2006/relationships/customXml" Target="../customXml/item14.xml"/><Relationship Id="rId138" Type="http://schemas.openxmlformats.org/officeDocument/2006/relationships/customXml" Target="../customXml/item68.xml"/><Relationship Id="rId107" Type="http://schemas.openxmlformats.org/officeDocument/2006/relationships/customXml" Target="../customXml/item37.xml"/><Relationship Id="rId11" Type="http://schemas.openxmlformats.org/officeDocument/2006/relationships/worksheet" Target="worksheets/sheet11.xml"/><Relationship Id="rId32" Type="http://schemas.openxmlformats.org/officeDocument/2006/relationships/pivotCacheDefinition" Target="pivotCache/pivotCacheDefinition17.xml"/><Relationship Id="rId53" Type="http://schemas.openxmlformats.org/officeDocument/2006/relationships/pivotCacheDefinition" Target="pivotCache/pivotCacheDefinition38.xml"/><Relationship Id="rId74" Type="http://schemas.openxmlformats.org/officeDocument/2006/relationships/customXml" Target="../customXml/item4.xml"/><Relationship Id="rId128" Type="http://schemas.openxmlformats.org/officeDocument/2006/relationships/customXml" Target="../customXml/item58.xml"/><Relationship Id="rId149" Type="http://schemas.openxmlformats.org/officeDocument/2006/relationships/customXml" Target="../customXml/item79.xml"/><Relationship Id="rId5" Type="http://schemas.openxmlformats.org/officeDocument/2006/relationships/worksheet" Target="worksheets/sheet5.xml"/><Relationship Id="rId95" Type="http://schemas.openxmlformats.org/officeDocument/2006/relationships/customXml" Target="../customXml/item25.xml"/><Relationship Id="rId22" Type="http://schemas.openxmlformats.org/officeDocument/2006/relationships/pivotCacheDefinition" Target="pivotCache/pivotCacheDefinition7.xml"/><Relationship Id="rId27" Type="http://schemas.openxmlformats.org/officeDocument/2006/relationships/pivotCacheDefinition" Target="pivotCache/pivotCacheDefinition12.xml"/><Relationship Id="rId43" Type="http://schemas.openxmlformats.org/officeDocument/2006/relationships/pivotCacheDefinition" Target="pivotCache/pivotCacheDefinition28.xml"/><Relationship Id="rId48" Type="http://schemas.openxmlformats.org/officeDocument/2006/relationships/pivotCacheDefinition" Target="pivotCache/pivotCacheDefinition33.xml"/><Relationship Id="rId64" Type="http://schemas.openxmlformats.org/officeDocument/2006/relationships/theme" Target="theme/theme1.xml"/><Relationship Id="rId69" Type="http://schemas.openxmlformats.org/officeDocument/2006/relationships/powerPivotData" Target="model/item.data"/><Relationship Id="rId113" Type="http://schemas.openxmlformats.org/officeDocument/2006/relationships/customXml" Target="../customXml/item43.xml"/><Relationship Id="rId118" Type="http://schemas.openxmlformats.org/officeDocument/2006/relationships/customXml" Target="../customXml/item48.xml"/><Relationship Id="rId134" Type="http://schemas.openxmlformats.org/officeDocument/2006/relationships/customXml" Target="../customXml/item64.xml"/><Relationship Id="rId139" Type="http://schemas.openxmlformats.org/officeDocument/2006/relationships/customXml" Target="../customXml/item69.xml"/><Relationship Id="rId80" Type="http://schemas.openxmlformats.org/officeDocument/2006/relationships/customXml" Target="../customXml/item10.xml"/><Relationship Id="rId85" Type="http://schemas.openxmlformats.org/officeDocument/2006/relationships/customXml" Target="../customXml/item15.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33" Type="http://schemas.openxmlformats.org/officeDocument/2006/relationships/pivotCacheDefinition" Target="pivotCache/pivotCacheDefinition18.xml"/><Relationship Id="rId38" Type="http://schemas.openxmlformats.org/officeDocument/2006/relationships/pivotCacheDefinition" Target="pivotCache/pivotCacheDefinition23.xml"/><Relationship Id="rId59" Type="http://schemas.openxmlformats.org/officeDocument/2006/relationships/pivotCacheDefinition" Target="pivotCache/pivotCacheDefinition44.xml"/><Relationship Id="rId103" Type="http://schemas.openxmlformats.org/officeDocument/2006/relationships/customXml" Target="../customXml/item33.xml"/><Relationship Id="rId108" Type="http://schemas.openxmlformats.org/officeDocument/2006/relationships/customXml" Target="../customXml/item38.xml"/><Relationship Id="rId124" Type="http://schemas.openxmlformats.org/officeDocument/2006/relationships/customXml" Target="../customXml/item54.xml"/><Relationship Id="rId129" Type="http://schemas.openxmlformats.org/officeDocument/2006/relationships/customXml" Target="../customXml/item59.xml"/><Relationship Id="rId54" Type="http://schemas.openxmlformats.org/officeDocument/2006/relationships/pivotCacheDefinition" Target="pivotCache/pivotCacheDefinition39.xml"/><Relationship Id="rId70" Type="http://schemas.openxmlformats.org/officeDocument/2006/relationships/calcChain" Target="calcChain.xml"/><Relationship Id="rId75" Type="http://schemas.openxmlformats.org/officeDocument/2006/relationships/customXml" Target="../customXml/item5.xml"/><Relationship Id="rId91" Type="http://schemas.openxmlformats.org/officeDocument/2006/relationships/customXml" Target="../customXml/item21.xml"/><Relationship Id="rId96" Type="http://schemas.openxmlformats.org/officeDocument/2006/relationships/customXml" Target="../customXml/item26.xml"/><Relationship Id="rId140" Type="http://schemas.openxmlformats.org/officeDocument/2006/relationships/customXml" Target="../customXml/item70.xml"/><Relationship Id="rId145" Type="http://schemas.openxmlformats.org/officeDocument/2006/relationships/customXml" Target="../customXml/item7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8.xml"/><Relationship Id="rId28" Type="http://schemas.openxmlformats.org/officeDocument/2006/relationships/pivotCacheDefinition" Target="pivotCache/pivotCacheDefinition13.xml"/><Relationship Id="rId49" Type="http://schemas.openxmlformats.org/officeDocument/2006/relationships/pivotCacheDefinition" Target="pivotCache/pivotCacheDefinition34.xml"/><Relationship Id="rId114" Type="http://schemas.openxmlformats.org/officeDocument/2006/relationships/customXml" Target="../customXml/item44.xml"/><Relationship Id="rId119" Type="http://schemas.openxmlformats.org/officeDocument/2006/relationships/customXml" Target="../customXml/item49.xml"/><Relationship Id="rId44" Type="http://schemas.openxmlformats.org/officeDocument/2006/relationships/pivotCacheDefinition" Target="pivotCache/pivotCacheDefinition29.xml"/><Relationship Id="rId60" Type="http://schemas.openxmlformats.org/officeDocument/2006/relationships/pivotCacheDefinition" Target="pivotCache/pivotCacheDefinition45.xml"/><Relationship Id="rId65" Type="http://schemas.openxmlformats.org/officeDocument/2006/relationships/connections" Target="connections.xml"/><Relationship Id="rId81" Type="http://schemas.openxmlformats.org/officeDocument/2006/relationships/customXml" Target="../customXml/item11.xml"/><Relationship Id="rId86" Type="http://schemas.openxmlformats.org/officeDocument/2006/relationships/customXml" Target="../customXml/item16.xml"/><Relationship Id="rId130" Type="http://schemas.openxmlformats.org/officeDocument/2006/relationships/customXml" Target="../customXml/item60.xml"/><Relationship Id="rId135" Type="http://schemas.openxmlformats.org/officeDocument/2006/relationships/customXml" Target="../customXml/item65.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9" Type="http://schemas.openxmlformats.org/officeDocument/2006/relationships/pivotCacheDefinition" Target="pivotCache/pivotCacheDefinition24.xml"/><Relationship Id="rId109" Type="http://schemas.openxmlformats.org/officeDocument/2006/relationships/customXml" Target="../customXml/item39.xml"/><Relationship Id="rId34" Type="http://schemas.openxmlformats.org/officeDocument/2006/relationships/pivotCacheDefinition" Target="pivotCache/pivotCacheDefinition19.xml"/><Relationship Id="rId50" Type="http://schemas.openxmlformats.org/officeDocument/2006/relationships/pivotCacheDefinition" Target="pivotCache/pivotCacheDefinition35.xml"/><Relationship Id="rId55" Type="http://schemas.openxmlformats.org/officeDocument/2006/relationships/pivotCacheDefinition" Target="pivotCache/pivotCacheDefinition40.xml"/><Relationship Id="rId76" Type="http://schemas.openxmlformats.org/officeDocument/2006/relationships/customXml" Target="../customXml/item6.xml"/><Relationship Id="rId97" Type="http://schemas.openxmlformats.org/officeDocument/2006/relationships/customXml" Target="../customXml/item27.xml"/><Relationship Id="rId104" Type="http://schemas.openxmlformats.org/officeDocument/2006/relationships/customXml" Target="../customXml/item34.xml"/><Relationship Id="rId120" Type="http://schemas.openxmlformats.org/officeDocument/2006/relationships/customXml" Target="../customXml/item50.xml"/><Relationship Id="rId125" Type="http://schemas.openxmlformats.org/officeDocument/2006/relationships/customXml" Target="../customXml/item55.xml"/><Relationship Id="rId141" Type="http://schemas.openxmlformats.org/officeDocument/2006/relationships/customXml" Target="../customXml/item71.xml"/><Relationship Id="rId146" Type="http://schemas.openxmlformats.org/officeDocument/2006/relationships/customXml" Target="../customXml/item76.xml"/><Relationship Id="rId7" Type="http://schemas.openxmlformats.org/officeDocument/2006/relationships/worksheet" Target="worksheets/sheet7.xml"/><Relationship Id="rId71" Type="http://schemas.openxmlformats.org/officeDocument/2006/relationships/customXml" Target="../customXml/item1.xml"/><Relationship Id="rId92" Type="http://schemas.openxmlformats.org/officeDocument/2006/relationships/customXml" Target="../customXml/item22.xml"/><Relationship Id="rId2" Type="http://schemas.openxmlformats.org/officeDocument/2006/relationships/worksheet" Target="worksheets/sheet2.xml"/><Relationship Id="rId29" Type="http://schemas.openxmlformats.org/officeDocument/2006/relationships/pivotCacheDefinition" Target="pivotCache/pivotCacheDefinition14.xml"/><Relationship Id="rId24" Type="http://schemas.openxmlformats.org/officeDocument/2006/relationships/pivotCacheDefinition" Target="pivotCache/pivotCacheDefinition9.xml"/><Relationship Id="rId40" Type="http://schemas.openxmlformats.org/officeDocument/2006/relationships/pivotCacheDefinition" Target="pivotCache/pivotCacheDefinition25.xml"/><Relationship Id="rId45" Type="http://schemas.openxmlformats.org/officeDocument/2006/relationships/pivotCacheDefinition" Target="pivotCache/pivotCacheDefinition30.xml"/><Relationship Id="rId66" Type="http://schemas.openxmlformats.org/officeDocument/2006/relationships/styles" Target="styles.xml"/><Relationship Id="rId87" Type="http://schemas.openxmlformats.org/officeDocument/2006/relationships/customXml" Target="../customXml/item17.xml"/><Relationship Id="rId110" Type="http://schemas.openxmlformats.org/officeDocument/2006/relationships/customXml" Target="../customXml/item40.xml"/><Relationship Id="rId115" Type="http://schemas.openxmlformats.org/officeDocument/2006/relationships/customXml" Target="../customXml/item45.xml"/><Relationship Id="rId131" Type="http://schemas.openxmlformats.org/officeDocument/2006/relationships/customXml" Target="../customXml/item61.xml"/><Relationship Id="rId136" Type="http://schemas.openxmlformats.org/officeDocument/2006/relationships/customXml" Target="../customXml/item66.xml"/><Relationship Id="rId61" Type="http://schemas.openxmlformats.org/officeDocument/2006/relationships/pivotCacheDefinition" Target="pivotCache/pivotCacheDefinition46.xml"/><Relationship Id="rId82" Type="http://schemas.openxmlformats.org/officeDocument/2006/relationships/customXml" Target="../customXml/item12.xml"/><Relationship Id="rId19" Type="http://schemas.openxmlformats.org/officeDocument/2006/relationships/pivotCacheDefinition" Target="pivotCache/pivotCacheDefinition4.xml"/><Relationship Id="rId14" Type="http://schemas.openxmlformats.org/officeDocument/2006/relationships/worksheet" Target="worksheets/sheet14.xml"/><Relationship Id="rId30" Type="http://schemas.openxmlformats.org/officeDocument/2006/relationships/pivotCacheDefinition" Target="pivotCache/pivotCacheDefinition15.xml"/><Relationship Id="rId35" Type="http://schemas.openxmlformats.org/officeDocument/2006/relationships/pivotCacheDefinition" Target="pivotCache/pivotCacheDefinition20.xml"/><Relationship Id="rId56" Type="http://schemas.openxmlformats.org/officeDocument/2006/relationships/pivotCacheDefinition" Target="pivotCache/pivotCacheDefinition41.xml"/><Relationship Id="rId77" Type="http://schemas.openxmlformats.org/officeDocument/2006/relationships/customXml" Target="../customXml/item7.xml"/><Relationship Id="rId100" Type="http://schemas.openxmlformats.org/officeDocument/2006/relationships/customXml" Target="../customXml/item30.xml"/><Relationship Id="rId105" Type="http://schemas.openxmlformats.org/officeDocument/2006/relationships/customXml" Target="../customXml/item35.xml"/><Relationship Id="rId126" Type="http://schemas.openxmlformats.org/officeDocument/2006/relationships/customXml" Target="../customXml/item56.xml"/><Relationship Id="rId147" Type="http://schemas.openxmlformats.org/officeDocument/2006/relationships/customXml" Target="../customXml/item77.xml"/><Relationship Id="rId8" Type="http://schemas.openxmlformats.org/officeDocument/2006/relationships/worksheet" Target="worksheets/sheet8.xml"/><Relationship Id="rId51" Type="http://schemas.openxmlformats.org/officeDocument/2006/relationships/pivotCacheDefinition" Target="pivotCache/pivotCacheDefinition36.xml"/><Relationship Id="rId72" Type="http://schemas.openxmlformats.org/officeDocument/2006/relationships/customXml" Target="../customXml/item2.xml"/><Relationship Id="rId93" Type="http://schemas.openxmlformats.org/officeDocument/2006/relationships/customXml" Target="../customXml/item23.xml"/><Relationship Id="rId98" Type="http://schemas.openxmlformats.org/officeDocument/2006/relationships/customXml" Target="../customXml/item28.xml"/><Relationship Id="rId121" Type="http://schemas.openxmlformats.org/officeDocument/2006/relationships/customXml" Target="../customXml/item51.xml"/><Relationship Id="rId142" Type="http://schemas.openxmlformats.org/officeDocument/2006/relationships/customXml" Target="../customXml/item72.xml"/><Relationship Id="rId3" Type="http://schemas.openxmlformats.org/officeDocument/2006/relationships/worksheet" Target="worksheets/sheet3.xml"/><Relationship Id="rId25" Type="http://schemas.openxmlformats.org/officeDocument/2006/relationships/pivotCacheDefinition" Target="pivotCache/pivotCacheDefinition10.xml"/><Relationship Id="rId46" Type="http://schemas.openxmlformats.org/officeDocument/2006/relationships/pivotCacheDefinition" Target="pivotCache/pivotCacheDefinition31.xml"/><Relationship Id="rId67" Type="http://schemas.openxmlformats.org/officeDocument/2006/relationships/sharedStrings" Target="sharedStrings.xml"/><Relationship Id="rId116" Type="http://schemas.openxmlformats.org/officeDocument/2006/relationships/customXml" Target="../customXml/item46.xml"/><Relationship Id="rId137" Type="http://schemas.openxmlformats.org/officeDocument/2006/relationships/customXml" Target="../customXml/item67.xml"/><Relationship Id="rId20" Type="http://schemas.openxmlformats.org/officeDocument/2006/relationships/pivotCacheDefinition" Target="pivotCache/pivotCacheDefinition5.xml"/><Relationship Id="rId41" Type="http://schemas.openxmlformats.org/officeDocument/2006/relationships/pivotCacheDefinition" Target="pivotCache/pivotCacheDefinition26.xml"/><Relationship Id="rId62" Type="http://schemas.openxmlformats.org/officeDocument/2006/relationships/pivotCacheDefinition" Target="pivotCache/pivotCacheDefinition47.xml"/><Relationship Id="rId83" Type="http://schemas.openxmlformats.org/officeDocument/2006/relationships/customXml" Target="../customXml/item13.xml"/><Relationship Id="rId88" Type="http://schemas.openxmlformats.org/officeDocument/2006/relationships/customXml" Target="../customXml/item18.xml"/><Relationship Id="rId111" Type="http://schemas.openxmlformats.org/officeDocument/2006/relationships/customXml" Target="../customXml/item41.xml"/><Relationship Id="rId132" Type="http://schemas.openxmlformats.org/officeDocument/2006/relationships/customXml" Target="../customXml/item62.xml"/><Relationship Id="rId15" Type="http://schemas.openxmlformats.org/officeDocument/2006/relationships/worksheet" Target="worksheets/sheet15.xml"/><Relationship Id="rId36" Type="http://schemas.openxmlformats.org/officeDocument/2006/relationships/pivotCacheDefinition" Target="pivotCache/pivotCacheDefinition21.xml"/><Relationship Id="rId57" Type="http://schemas.openxmlformats.org/officeDocument/2006/relationships/pivotCacheDefinition" Target="pivotCache/pivotCacheDefinition42.xml"/><Relationship Id="rId106" Type="http://schemas.openxmlformats.org/officeDocument/2006/relationships/customXml" Target="../customXml/item36.xml"/><Relationship Id="rId127" Type="http://schemas.openxmlformats.org/officeDocument/2006/relationships/customXml" Target="../customXml/item57.xml"/><Relationship Id="rId10" Type="http://schemas.openxmlformats.org/officeDocument/2006/relationships/worksheet" Target="worksheets/sheet10.xml"/><Relationship Id="rId31" Type="http://schemas.openxmlformats.org/officeDocument/2006/relationships/pivotCacheDefinition" Target="pivotCache/pivotCacheDefinition16.xml"/><Relationship Id="rId52" Type="http://schemas.openxmlformats.org/officeDocument/2006/relationships/pivotCacheDefinition" Target="pivotCache/pivotCacheDefinition37.xml"/><Relationship Id="rId73" Type="http://schemas.openxmlformats.org/officeDocument/2006/relationships/customXml" Target="../customXml/item3.xml"/><Relationship Id="rId78" Type="http://schemas.openxmlformats.org/officeDocument/2006/relationships/customXml" Target="../customXml/item8.xml"/><Relationship Id="rId94" Type="http://schemas.openxmlformats.org/officeDocument/2006/relationships/customXml" Target="../customXml/item24.xml"/><Relationship Id="rId99" Type="http://schemas.openxmlformats.org/officeDocument/2006/relationships/customXml" Target="../customXml/item29.xml"/><Relationship Id="rId101" Type="http://schemas.openxmlformats.org/officeDocument/2006/relationships/customXml" Target="../customXml/item31.xml"/><Relationship Id="rId122" Type="http://schemas.openxmlformats.org/officeDocument/2006/relationships/customXml" Target="../customXml/item52.xml"/><Relationship Id="rId143" Type="http://schemas.openxmlformats.org/officeDocument/2006/relationships/customXml" Target="../customXml/item73.xml"/><Relationship Id="rId148" Type="http://schemas.openxmlformats.org/officeDocument/2006/relationships/customXml" Target="../customXml/item7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11.xml"/><Relationship Id="rId47" Type="http://schemas.openxmlformats.org/officeDocument/2006/relationships/pivotCacheDefinition" Target="pivotCache/pivotCacheDefinition32.xml"/><Relationship Id="rId68" Type="http://schemas.openxmlformats.org/officeDocument/2006/relationships/sheetMetadata" Target="metadata.xml"/><Relationship Id="rId89" Type="http://schemas.openxmlformats.org/officeDocument/2006/relationships/customXml" Target="../customXml/item19.xml"/><Relationship Id="rId112" Type="http://schemas.openxmlformats.org/officeDocument/2006/relationships/customXml" Target="../customXml/item42.xml"/><Relationship Id="rId133" Type="http://schemas.openxmlformats.org/officeDocument/2006/relationships/customXml" Target="../customXml/item63.xml"/><Relationship Id="rId16" Type="http://schemas.openxmlformats.org/officeDocument/2006/relationships/pivotCacheDefinition" Target="pivotCache/pivotCacheDefinition1.xml"/><Relationship Id="rId37" Type="http://schemas.openxmlformats.org/officeDocument/2006/relationships/pivotCacheDefinition" Target="pivotCache/pivotCacheDefinition22.xml"/><Relationship Id="rId58" Type="http://schemas.openxmlformats.org/officeDocument/2006/relationships/pivotCacheDefinition" Target="pivotCache/pivotCacheDefinition43.xml"/><Relationship Id="rId79" Type="http://schemas.openxmlformats.org/officeDocument/2006/relationships/customXml" Target="../customXml/item9.xml"/><Relationship Id="rId102" Type="http://schemas.openxmlformats.org/officeDocument/2006/relationships/customXml" Target="../customXml/item32.xml"/><Relationship Id="rId123" Type="http://schemas.openxmlformats.org/officeDocument/2006/relationships/customXml" Target="../customXml/item53.xml"/><Relationship Id="rId144" Type="http://schemas.openxmlformats.org/officeDocument/2006/relationships/customXml" Target="../customXml/item74.xml"/><Relationship Id="rId90"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900">
                <a:latin typeface="+mn-lt"/>
              </a:rPr>
              <a:t>A&amp;E</a:t>
            </a:r>
            <a:r>
              <a:rPr lang="en-GB" sz="900" baseline="0">
                <a:latin typeface="+mn-lt"/>
              </a:rPr>
              <a:t> diverts</a:t>
            </a:r>
            <a:endParaRPr lang="en-GB" sz="900">
              <a:latin typeface="+mn-lt"/>
            </a:endParaRPr>
          </a:p>
        </c:rich>
      </c:tx>
      <c:layout>
        <c:manualLayout>
          <c:xMode val="edge"/>
          <c:yMode val="edge"/>
          <c:x val="0.10845315902950396"/>
          <c:y val="2.1421041534893527E-2"/>
        </c:manualLayout>
      </c:layout>
      <c:overlay val="1"/>
    </c:title>
    <c:autoTitleDeleted val="0"/>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21/22</c:v>
                </c:pt>
              </c:strCache>
            </c:strRef>
          </c:tx>
          <c:spPr>
            <a:solidFill>
              <a:srgbClr val="00A89C"/>
            </a:solidFill>
            <a:ln w="19050"/>
          </c:spPr>
          <c:invertIfNegative val="0"/>
          <c:val>
            <c:numRef>
              <c:f>Summary!$D$8:$P$8</c:f>
              <c:numCache>
                <c:formatCode>General</c:formatCode>
                <c:ptCount val="13"/>
                <c:pt idx="0">
                  <c:v>25</c:v>
                </c:pt>
                <c:pt idx="1">
                  <c:v>28</c:v>
                </c:pt>
                <c:pt idx="2">
                  <c:v>13</c:v>
                </c:pt>
                <c:pt idx="3">
                  <c:v>15</c:v>
                </c:pt>
                <c:pt idx="4">
                  <c:v>21</c:v>
                </c:pt>
                <c:pt idx="5">
                  <c:v>23</c:v>
                </c:pt>
                <c:pt idx="6">
                  <c:v>25</c:v>
                </c:pt>
                <c:pt idx="7">
                  <c:v>28</c:v>
                </c:pt>
                <c:pt idx="8">
                  <c:v>23</c:v>
                </c:pt>
                <c:pt idx="9">
                  <c:v>13</c:v>
                </c:pt>
                <c:pt idx="10">
                  <c:v>23</c:v>
                </c:pt>
                <c:pt idx="11">
                  <c:v>32</c:v>
                </c:pt>
                <c:pt idx="12">
                  <c:v>22</c:v>
                </c:pt>
              </c:numCache>
            </c:numRef>
          </c:val>
          <c:extLst>
            <c:ext xmlns:c16="http://schemas.microsoft.com/office/drawing/2014/chart" uri="{C3380CC4-5D6E-409C-BE32-E72D297353CC}">
              <c16:uniqueId val="{00000000-466B-48BC-A04E-6E06E24EDF29}"/>
            </c:ext>
          </c:extLst>
        </c:ser>
        <c:dLbls>
          <c:showLegendKey val="0"/>
          <c:showVal val="0"/>
          <c:showCatName val="0"/>
          <c:showSerName val="0"/>
          <c:showPercent val="0"/>
          <c:showBubbleSize val="0"/>
        </c:dLbls>
        <c:gapWidth val="50"/>
        <c:axId val="201815168"/>
        <c:axId val="210947456"/>
      </c:barChart>
      <c:lineChart>
        <c:grouping val="standard"/>
        <c:varyColors val="0"/>
        <c:ser>
          <c:idx val="0"/>
          <c:order val="0"/>
          <c:tx>
            <c:strRef>
              <c:f>Summary!$C$6</c:f>
              <c:strCache>
                <c:ptCount val="1"/>
                <c:pt idx="0">
                  <c:v>20/21</c:v>
                </c:pt>
              </c:strCache>
            </c:strRef>
          </c:tx>
          <c:spPr>
            <a:ln w="25400">
              <a:solidFill>
                <a:srgbClr val="C00848"/>
              </a:solidFill>
              <a:prstDash val="dash"/>
            </a:ln>
          </c:spPr>
          <c:marker>
            <c:symbol val="none"/>
          </c:marker>
          <c:val>
            <c:numRef>
              <c:f>Summary!$D$6:$P$6</c:f>
              <c:numCache>
                <c:formatCode>General</c:formatCode>
                <c:ptCount val="13"/>
                <c:pt idx="0">
                  <c:v>18</c:v>
                </c:pt>
                <c:pt idx="1">
                  <c:v>44</c:v>
                </c:pt>
                <c:pt idx="2">
                  <c:v>26</c:v>
                </c:pt>
                <c:pt idx="3">
                  <c:v>22</c:v>
                </c:pt>
                <c:pt idx="4">
                  <c:v>20</c:v>
                </c:pt>
                <c:pt idx="5">
                  <c:v>25</c:v>
                </c:pt>
                <c:pt idx="6">
                  <c:v>15</c:v>
                </c:pt>
                <c:pt idx="7">
                  <c:v>24</c:v>
                </c:pt>
                <c:pt idx="8">
                  <c:v>14</c:v>
                </c:pt>
                <c:pt idx="9">
                  <c:v>13</c:v>
                </c:pt>
                <c:pt idx="10">
                  <c:v>18</c:v>
                </c:pt>
                <c:pt idx="11">
                  <c:v>22</c:v>
                </c:pt>
                <c:pt idx="12">
                  <c:v>17</c:v>
                </c:pt>
              </c:numCache>
            </c:numRef>
          </c:val>
          <c:smooth val="0"/>
          <c:extLst>
            <c:ext xmlns:c16="http://schemas.microsoft.com/office/drawing/2014/chart" uri="{C3380CC4-5D6E-409C-BE32-E72D297353CC}">
              <c16:uniqueId val="{00000001-466B-48BC-A04E-6E06E24EDF29}"/>
            </c:ext>
          </c:extLst>
        </c:ser>
        <c:ser>
          <c:idx val="2"/>
          <c:order val="2"/>
          <c:tx>
            <c:v>19/20</c:v>
          </c:tx>
          <c:spPr>
            <a:ln w="25400" cmpd="sng">
              <a:solidFill>
                <a:srgbClr val="F79131"/>
              </a:solidFill>
              <a:prstDash val="sysDot"/>
            </a:ln>
          </c:spPr>
          <c:marker>
            <c:symbol val="none"/>
          </c:marker>
          <c:val>
            <c:numRef>
              <c:f>Summary!$D$7:$P$7</c:f>
              <c:numCache>
                <c:formatCode>General</c:formatCode>
                <c:ptCount val="13"/>
                <c:pt idx="0">
                  <c:v>28</c:v>
                </c:pt>
                <c:pt idx="1">
                  <c:v>24</c:v>
                </c:pt>
                <c:pt idx="2">
                  <c:v>23</c:v>
                </c:pt>
                <c:pt idx="3">
                  <c:v>20</c:v>
                </c:pt>
                <c:pt idx="4">
                  <c:v>28</c:v>
                </c:pt>
                <c:pt idx="5">
                  <c:v>27</c:v>
                </c:pt>
                <c:pt idx="6">
                  <c:v>20</c:v>
                </c:pt>
                <c:pt idx="7">
                  <c:v>25</c:v>
                </c:pt>
                <c:pt idx="8">
                  <c:v>14</c:v>
                </c:pt>
                <c:pt idx="9">
                  <c:v>26</c:v>
                </c:pt>
                <c:pt idx="10">
                  <c:v>32</c:v>
                </c:pt>
                <c:pt idx="11">
                  <c:v>22</c:v>
                </c:pt>
                <c:pt idx="12">
                  <c:v>24</c:v>
                </c:pt>
              </c:numCache>
            </c:numRef>
          </c:val>
          <c:smooth val="0"/>
          <c:extLst>
            <c:ext xmlns:c16="http://schemas.microsoft.com/office/drawing/2014/chart" uri="{C3380CC4-5D6E-409C-BE32-E72D297353CC}">
              <c16:uniqueId val="{00000002-466B-48BC-A04E-6E06E24EDF29}"/>
            </c:ext>
          </c:extLst>
        </c:ser>
        <c:dLbls>
          <c:showLegendKey val="0"/>
          <c:showVal val="0"/>
          <c:showCatName val="0"/>
          <c:showSerName val="0"/>
          <c:showPercent val="0"/>
          <c:showBubbleSize val="0"/>
        </c:dLbls>
        <c:marker val="1"/>
        <c:smooth val="0"/>
        <c:axId val="201815168"/>
        <c:axId val="210947456"/>
      </c:lineChart>
      <c:catAx>
        <c:axId val="201815168"/>
        <c:scaling>
          <c:orientation val="minMax"/>
        </c:scaling>
        <c:delete val="0"/>
        <c:axPos val="b"/>
        <c:title>
          <c:tx>
            <c:rich>
              <a:bodyPr/>
              <a:lstStyle/>
              <a:p>
                <a:pPr>
                  <a:defRPr/>
                </a:pPr>
                <a:r>
                  <a:rPr lang="en-US"/>
                  <a:t>Week</a:t>
                </a:r>
              </a:p>
            </c:rich>
          </c:tx>
          <c:overlay val="0"/>
        </c:title>
        <c:numFmt formatCode="General" sourceLinked="0"/>
        <c:majorTickMark val="out"/>
        <c:minorTickMark val="none"/>
        <c:tickLblPos val="nextTo"/>
        <c:spPr>
          <a:ln w="3175">
            <a:solidFill>
              <a:srgbClr val="9DA6AB"/>
            </a:solidFill>
          </a:ln>
        </c:spPr>
        <c:txPr>
          <a:bodyPr/>
          <a:lstStyle/>
          <a:p>
            <a:pPr>
              <a:defRPr sz="800" b="1"/>
            </a:pPr>
            <a:endParaRPr lang="en-US"/>
          </a:p>
        </c:txPr>
        <c:crossAx val="210947456"/>
        <c:crosses val="autoZero"/>
        <c:auto val="1"/>
        <c:lblAlgn val="ctr"/>
        <c:lblOffset val="100"/>
        <c:noMultiLvlLbl val="0"/>
      </c:catAx>
      <c:valAx>
        <c:axId val="210947456"/>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201815168"/>
        <c:crosses val="autoZero"/>
        <c:crossBetween val="between"/>
      </c:valAx>
    </c:plotArea>
    <c:legend>
      <c:legendPos val="r"/>
      <c:layout>
        <c:manualLayout>
          <c:xMode val="edge"/>
          <c:yMode val="edge"/>
          <c:x val="0.45946238005719103"/>
          <c:y val="7.8916297701876453E-3"/>
          <c:w val="0.53460784776558379"/>
          <c:h val="0.1312426734134513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Summary!$C$222</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Summary!$D$222:$P$222</c:f>
              <c:numCache>
                <c:formatCode>#,##0</c:formatCode>
                <c:ptCount val="13"/>
                <c:pt idx="0">
                  <c:v>83893</c:v>
                </c:pt>
                <c:pt idx="1">
                  <c:v>83950</c:v>
                </c:pt>
                <c:pt idx="2">
                  <c:v>83545</c:v>
                </c:pt>
                <c:pt idx="3">
                  <c:v>83001</c:v>
                </c:pt>
                <c:pt idx="4">
                  <c:v>83640</c:v>
                </c:pt>
                <c:pt idx="5">
                  <c:v>81129</c:v>
                </c:pt>
                <c:pt idx="6">
                  <c:v>83486</c:v>
                </c:pt>
                <c:pt idx="7">
                  <c:v>85455</c:v>
                </c:pt>
                <c:pt idx="8">
                  <c:v>85992</c:v>
                </c:pt>
                <c:pt idx="9">
                  <c:v>85034</c:v>
                </c:pt>
                <c:pt idx="10">
                  <c:v>85502</c:v>
                </c:pt>
                <c:pt idx="11">
                  <c:v>84574</c:v>
                </c:pt>
                <c:pt idx="12">
                  <c:v>84964</c:v>
                </c:pt>
              </c:numCache>
            </c:numRef>
          </c:val>
          <c:extLst>
            <c:ext xmlns:c16="http://schemas.microsoft.com/office/drawing/2014/chart" uri="{C3380CC4-5D6E-409C-BE32-E72D297353CC}">
              <c16:uniqueId val="{00000000-1CD8-4875-8109-8C26E4681454}"/>
            </c:ext>
          </c:extLst>
        </c:ser>
        <c:dLbls>
          <c:showLegendKey val="0"/>
          <c:showVal val="0"/>
          <c:showCatName val="0"/>
          <c:showSerName val="0"/>
          <c:showPercent val="0"/>
          <c:showBubbleSize val="0"/>
        </c:dLbls>
        <c:gapWidth val="50"/>
        <c:axId val="561978752"/>
        <c:axId val="561982848"/>
      </c:barChart>
      <c:lineChart>
        <c:grouping val="standard"/>
        <c:varyColors val="0"/>
        <c:ser>
          <c:idx val="0"/>
          <c:order val="1"/>
          <c:tx>
            <c:strRef>
              <c:f>Summary!$C$220</c:f>
              <c:strCache>
                <c:ptCount val="1"/>
                <c:pt idx="0">
                  <c:v>20/21</c:v>
                </c:pt>
              </c:strCache>
            </c:strRef>
          </c:tx>
          <c:spPr>
            <a:ln w="25400">
              <a:solidFill>
                <a:srgbClr val="C00848"/>
              </a:solidFill>
              <a:prstDash val="dash"/>
            </a:ln>
          </c:spPr>
          <c:marker>
            <c:symbol val="none"/>
          </c:marker>
          <c:val>
            <c:numRef>
              <c:f>Summary!$D$220:$P$220</c:f>
              <c:numCache>
                <c:formatCode>#,##0</c:formatCode>
                <c:ptCount val="13"/>
                <c:pt idx="0">
                  <c:v>90215</c:v>
                </c:pt>
                <c:pt idx="1">
                  <c:v>90368</c:v>
                </c:pt>
                <c:pt idx="2">
                  <c:v>89023</c:v>
                </c:pt>
                <c:pt idx="3">
                  <c:v>86465</c:v>
                </c:pt>
                <c:pt idx="4">
                  <c:v>91303</c:v>
                </c:pt>
                <c:pt idx="5">
                  <c:v>86056</c:v>
                </c:pt>
                <c:pt idx="6">
                  <c:v>86050</c:v>
                </c:pt>
                <c:pt idx="7">
                  <c:v>88787</c:v>
                </c:pt>
                <c:pt idx="8">
                  <c:v>88595</c:v>
                </c:pt>
                <c:pt idx="9">
                  <c:v>87081</c:v>
                </c:pt>
                <c:pt idx="10">
                  <c:v>85028</c:v>
                </c:pt>
                <c:pt idx="11">
                  <c:v>90467</c:v>
                </c:pt>
                <c:pt idx="12">
                  <c:v>88075</c:v>
                </c:pt>
              </c:numCache>
            </c:numRef>
          </c:val>
          <c:smooth val="0"/>
          <c:extLst>
            <c:ext xmlns:c16="http://schemas.microsoft.com/office/drawing/2014/chart" uri="{C3380CC4-5D6E-409C-BE32-E72D297353CC}">
              <c16:uniqueId val="{00000001-1CD8-4875-8109-8C26E4681454}"/>
            </c:ext>
          </c:extLst>
        </c:ser>
        <c:ser>
          <c:idx val="2"/>
          <c:order val="2"/>
          <c:tx>
            <c:v>19/20</c:v>
          </c:tx>
          <c:spPr>
            <a:ln w="25400">
              <a:solidFill>
                <a:srgbClr val="F79131"/>
              </a:solidFill>
              <a:prstDash val="sysDot"/>
            </a:ln>
          </c:spPr>
          <c:marker>
            <c:symbol val="none"/>
          </c:marker>
          <c:val>
            <c:numRef>
              <c:f>Summary!$D$219:$P$219</c:f>
              <c:numCache>
                <c:formatCode>General</c:formatCode>
                <c:ptCount val="13"/>
                <c:pt idx="0">
                  <c:v>100129</c:v>
                </c:pt>
                <c:pt idx="1">
                  <c:v>99958</c:v>
                </c:pt>
                <c:pt idx="2">
                  <c:v>100884</c:v>
                </c:pt>
                <c:pt idx="3">
                  <c:v>98558</c:v>
                </c:pt>
                <c:pt idx="4">
                  <c:v>100569</c:v>
                </c:pt>
                <c:pt idx="5">
                  <c:v>95738</c:v>
                </c:pt>
                <c:pt idx="6">
                  <c:v>94512</c:v>
                </c:pt>
                <c:pt idx="7">
                  <c:v>93701</c:v>
                </c:pt>
                <c:pt idx="8">
                  <c:v>96519</c:v>
                </c:pt>
                <c:pt idx="9">
                  <c:v>93938</c:v>
                </c:pt>
                <c:pt idx="10">
                  <c:v>94510</c:v>
                </c:pt>
                <c:pt idx="11">
                  <c:v>94740</c:v>
                </c:pt>
                <c:pt idx="12">
                  <c:v>93874</c:v>
                </c:pt>
              </c:numCache>
            </c:numRef>
          </c:val>
          <c:smooth val="0"/>
          <c:extLst>
            <c:ext xmlns:c16="http://schemas.microsoft.com/office/drawing/2014/chart" uri="{C3380CC4-5D6E-409C-BE32-E72D297353CC}">
              <c16:uniqueId val="{00000002-1CD8-4875-8109-8C26E4681454}"/>
            </c:ext>
          </c:extLst>
        </c:ser>
        <c:dLbls>
          <c:showLegendKey val="0"/>
          <c:showVal val="0"/>
          <c:showCatName val="0"/>
          <c:showSerName val="0"/>
          <c:showPercent val="0"/>
          <c:showBubbleSize val="0"/>
        </c:dLbls>
        <c:marker val="1"/>
        <c:smooth val="0"/>
        <c:axId val="561978752"/>
        <c:axId val="561982848"/>
      </c:lineChart>
      <c:catAx>
        <c:axId val="56197875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1982848"/>
        <c:crosses val="autoZero"/>
        <c:auto val="1"/>
        <c:lblAlgn val="ctr"/>
        <c:lblOffset val="100"/>
        <c:noMultiLvlLbl val="0"/>
      </c:catAx>
      <c:valAx>
        <c:axId val="561982848"/>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1978752"/>
        <c:crosses val="autoZero"/>
        <c:crossBetween val="between"/>
        <c:majorUnit val="5000"/>
      </c:valAx>
    </c:plotArea>
    <c:legend>
      <c:legendPos val="r"/>
      <c:layout>
        <c:manualLayout>
          <c:xMode val="edge"/>
          <c:yMode val="edge"/>
          <c:x val="0.52306683507564966"/>
          <c:y val="3.1773672521704034E-3"/>
          <c:w val="0.46505119453924915"/>
          <c:h val="0.1045031227511593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Summary!$C$246</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Summary!$D$246:$P$246</c:f>
              <c:numCache>
                <c:formatCode>0.0%</c:formatCode>
                <c:ptCount val="13"/>
                <c:pt idx="0">
                  <c:v>9.7874673691487973E-2</c:v>
                </c:pt>
                <c:pt idx="1">
                  <c:v>0.10007147111375819</c:v>
                </c:pt>
                <c:pt idx="2">
                  <c:v>7.3301813393979287E-2</c:v>
                </c:pt>
                <c:pt idx="3">
                  <c:v>3.5493548270502766E-2</c:v>
                </c:pt>
                <c:pt idx="4">
                  <c:v>9.8900047824007659E-2</c:v>
                </c:pt>
                <c:pt idx="5">
                  <c:v>9.7967434579496845E-2</c:v>
                </c:pt>
                <c:pt idx="6">
                  <c:v>6.7196895287832695E-2</c:v>
                </c:pt>
                <c:pt idx="7">
                  <c:v>6.989643672108127E-2</c:v>
                </c:pt>
                <c:pt idx="8">
                  <c:v>8.3751976928086336E-2</c:v>
                </c:pt>
                <c:pt idx="9">
                  <c:v>9.0846014535362327E-2</c:v>
                </c:pt>
                <c:pt idx="10">
                  <c:v>8.0173563191504288E-2</c:v>
                </c:pt>
                <c:pt idx="11">
                  <c:v>8.5037954927046133E-2</c:v>
                </c:pt>
                <c:pt idx="12">
                  <c:v>8.7448801845487506E-2</c:v>
                </c:pt>
              </c:numCache>
            </c:numRef>
          </c:val>
          <c:extLst>
            <c:ext xmlns:c16="http://schemas.microsoft.com/office/drawing/2014/chart" uri="{C3380CC4-5D6E-409C-BE32-E72D297353CC}">
              <c16:uniqueId val="{00000000-AEB2-439C-9286-9EDB20708B64}"/>
            </c:ext>
          </c:extLst>
        </c:ser>
        <c:dLbls>
          <c:showLegendKey val="0"/>
          <c:showVal val="0"/>
          <c:showCatName val="0"/>
          <c:showSerName val="0"/>
          <c:showPercent val="0"/>
          <c:showBubbleSize val="0"/>
        </c:dLbls>
        <c:gapWidth val="50"/>
        <c:axId val="562204672"/>
        <c:axId val="562207744"/>
      </c:barChart>
      <c:lineChart>
        <c:grouping val="standard"/>
        <c:varyColors val="0"/>
        <c:ser>
          <c:idx val="0"/>
          <c:order val="1"/>
          <c:tx>
            <c:strRef>
              <c:f>Summary!$C$244</c:f>
              <c:strCache>
                <c:ptCount val="1"/>
                <c:pt idx="0">
                  <c:v>20/21</c:v>
                </c:pt>
              </c:strCache>
            </c:strRef>
          </c:tx>
          <c:spPr>
            <a:ln w="25400">
              <a:solidFill>
                <a:srgbClr val="C00848"/>
              </a:solidFill>
              <a:prstDash val="sysDash"/>
            </a:ln>
          </c:spPr>
          <c:marker>
            <c:symbol val="none"/>
          </c:marker>
          <c:val>
            <c:numRef>
              <c:f>Summary!$D$244:$P$244</c:f>
              <c:numCache>
                <c:formatCode>0.0%</c:formatCode>
                <c:ptCount val="13"/>
                <c:pt idx="0">
                  <c:v>2.7201684863936152E-2</c:v>
                </c:pt>
                <c:pt idx="1">
                  <c:v>4.7505754249291786E-2</c:v>
                </c:pt>
                <c:pt idx="2">
                  <c:v>4.7257450321826946E-2</c:v>
                </c:pt>
                <c:pt idx="3">
                  <c:v>2.954952871103915E-2</c:v>
                </c:pt>
                <c:pt idx="4">
                  <c:v>5.8245621721082552E-2</c:v>
                </c:pt>
                <c:pt idx="5">
                  <c:v>6.4062935762759135E-2</c:v>
                </c:pt>
                <c:pt idx="6">
                  <c:v>3.8733294596165022E-2</c:v>
                </c:pt>
                <c:pt idx="7">
                  <c:v>3.6976133893475399E-2</c:v>
                </c:pt>
                <c:pt idx="8">
                  <c:v>2.6401038433320166E-2</c:v>
                </c:pt>
                <c:pt idx="9">
                  <c:v>1.9074195289443163E-2</c:v>
                </c:pt>
                <c:pt idx="10">
                  <c:v>1.0443618572705461E-2</c:v>
                </c:pt>
                <c:pt idx="11">
                  <c:v>2.1256369725977428E-2</c:v>
                </c:pt>
                <c:pt idx="12">
                  <c:v>1.8098211751348282E-2</c:v>
                </c:pt>
              </c:numCache>
            </c:numRef>
          </c:val>
          <c:smooth val="0"/>
          <c:extLst>
            <c:ext xmlns:c16="http://schemas.microsoft.com/office/drawing/2014/chart" uri="{C3380CC4-5D6E-409C-BE32-E72D297353CC}">
              <c16:uniqueId val="{00000001-AEB2-439C-9286-9EDB20708B64}"/>
            </c:ext>
          </c:extLst>
        </c:ser>
        <c:ser>
          <c:idx val="2"/>
          <c:order val="2"/>
          <c:tx>
            <c:v>19/20</c:v>
          </c:tx>
          <c:spPr>
            <a:ln w="25400">
              <a:solidFill>
                <a:srgbClr val="F79131"/>
              </a:solidFill>
              <a:prstDash val="sysDot"/>
            </a:ln>
          </c:spPr>
          <c:marker>
            <c:symbol val="none"/>
          </c:marker>
          <c:val>
            <c:numRef>
              <c:f>Summary!$D$243:$P$243</c:f>
              <c:numCache>
                <c:formatCode>0.0%</c:formatCode>
                <c:ptCount val="13"/>
                <c:pt idx="0">
                  <c:v>3.1749043733583678E-2</c:v>
                </c:pt>
                <c:pt idx="1">
                  <c:v>4.4708777686628384E-2</c:v>
                </c:pt>
                <c:pt idx="2">
                  <c:v>4.9462749296221402E-2</c:v>
                </c:pt>
                <c:pt idx="3">
                  <c:v>3.6506422614095251E-2</c:v>
                </c:pt>
                <c:pt idx="4">
                  <c:v>5.3962950809891719E-2</c:v>
                </c:pt>
                <c:pt idx="5">
                  <c:v>4.3859282625498756E-2</c:v>
                </c:pt>
                <c:pt idx="6">
                  <c:v>2.7287540206534618E-2</c:v>
                </c:pt>
                <c:pt idx="7">
                  <c:v>2.0383987364062283E-2</c:v>
                </c:pt>
                <c:pt idx="8">
                  <c:v>3.035671733026658E-2</c:v>
                </c:pt>
                <c:pt idx="9">
                  <c:v>2.4111648108326767E-2</c:v>
                </c:pt>
                <c:pt idx="10">
                  <c:v>2.2643106549571475E-2</c:v>
                </c:pt>
                <c:pt idx="11">
                  <c:v>2.096263457884737E-2</c:v>
                </c:pt>
                <c:pt idx="12">
                  <c:v>2.56727102286043E-2</c:v>
                </c:pt>
              </c:numCache>
            </c:numRef>
          </c:val>
          <c:smooth val="0"/>
          <c:extLst>
            <c:ext xmlns:c16="http://schemas.microsoft.com/office/drawing/2014/chart" uri="{C3380CC4-5D6E-409C-BE32-E72D297353CC}">
              <c16:uniqueId val="{00000002-AEB2-439C-9286-9EDB20708B64}"/>
            </c:ext>
          </c:extLst>
        </c:ser>
        <c:dLbls>
          <c:showLegendKey val="0"/>
          <c:showVal val="0"/>
          <c:showCatName val="0"/>
          <c:showSerName val="0"/>
          <c:showPercent val="0"/>
          <c:showBubbleSize val="0"/>
        </c:dLbls>
        <c:marker val="1"/>
        <c:smooth val="0"/>
        <c:axId val="562204672"/>
        <c:axId val="562207744"/>
      </c:lineChart>
      <c:catAx>
        <c:axId val="5622046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scaling>
        <c:delete val="0"/>
        <c:axPos val="l"/>
        <c:numFmt formatCode="0.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55005014468760471"/>
          <c:y val="9.553811081287656E-3"/>
          <c:w val="0.44225890529973938"/>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Summary!$C$52</c:f>
              <c:strCache>
                <c:ptCount val="1"/>
                <c:pt idx="0">
                  <c:v>21/22</c:v>
                </c:pt>
              </c:strCache>
            </c:strRef>
          </c:tx>
          <c:spPr>
            <a:solidFill>
              <a:srgbClr val="00A89C"/>
            </a:solidFill>
          </c:spPr>
          <c:invertIfNegative val="0"/>
          <c:val>
            <c:numRef>
              <c:f>Summary!$D$52:$P$52</c:f>
              <c:numCache>
                <c:formatCode>#,##0</c:formatCode>
                <c:ptCount val="13"/>
                <c:pt idx="0">
                  <c:v>94667.142857142855</c:v>
                </c:pt>
                <c:pt idx="1">
                  <c:v>95070.28571428571</c:v>
                </c:pt>
                <c:pt idx="2">
                  <c:v>94958.142857142855</c:v>
                </c:pt>
                <c:pt idx="3">
                  <c:v>93420.28571428571</c:v>
                </c:pt>
                <c:pt idx="4">
                  <c:v>93008.857142857145</c:v>
                </c:pt>
                <c:pt idx="5">
                  <c:v>94616.71428571429</c:v>
                </c:pt>
                <c:pt idx="6">
                  <c:v>95055.571428571435</c:v>
                </c:pt>
                <c:pt idx="7">
                  <c:v>94923.28571428571</c:v>
                </c:pt>
                <c:pt idx="8">
                  <c:v>95281.857142857145</c:v>
                </c:pt>
                <c:pt idx="9">
                  <c:v>95747.428571428565</c:v>
                </c:pt>
                <c:pt idx="10">
                  <c:v>95404.571428571435</c:v>
                </c:pt>
                <c:pt idx="11">
                  <c:v>96079.28571428571</c:v>
                </c:pt>
                <c:pt idx="12">
                  <c:v>96293</c:v>
                </c:pt>
              </c:numCache>
            </c:numRef>
          </c:val>
          <c:extLst>
            <c:ext xmlns:c16="http://schemas.microsoft.com/office/drawing/2014/chart" uri="{C3380CC4-5D6E-409C-BE32-E72D297353CC}">
              <c16:uniqueId val="{00000000-C4E5-4C27-B463-332B80ADCEDA}"/>
            </c:ext>
          </c:extLst>
        </c:ser>
        <c:dLbls>
          <c:showLegendKey val="0"/>
          <c:showVal val="0"/>
          <c:showCatName val="0"/>
          <c:showSerName val="0"/>
          <c:showPercent val="0"/>
          <c:showBubbleSize val="0"/>
        </c:dLbls>
        <c:gapWidth val="50"/>
        <c:axId val="563149440"/>
        <c:axId val="563173632"/>
      </c:barChart>
      <c:lineChart>
        <c:grouping val="standard"/>
        <c:varyColors val="0"/>
        <c:ser>
          <c:idx val="0"/>
          <c:order val="0"/>
          <c:tx>
            <c:strRef>
              <c:f>Summary!$C$50</c:f>
              <c:strCache>
                <c:ptCount val="1"/>
                <c:pt idx="0">
                  <c:v>20/21</c:v>
                </c:pt>
              </c:strCache>
            </c:strRef>
          </c:tx>
          <c:spPr>
            <a:ln w="25400">
              <a:solidFill>
                <a:srgbClr val="C00848"/>
              </a:solidFill>
              <a:prstDash val="dash"/>
            </a:ln>
          </c:spPr>
          <c:marker>
            <c:symbol val="none"/>
          </c:marker>
          <c:val>
            <c:numRef>
              <c:f>Summary!$D$50:$P$50</c:f>
              <c:numCache>
                <c:formatCode>#,##0</c:formatCode>
                <c:ptCount val="13"/>
                <c:pt idx="0">
                  <c:v>88947.428571428565</c:v>
                </c:pt>
                <c:pt idx="1">
                  <c:v>89394.142857142855</c:v>
                </c:pt>
                <c:pt idx="2">
                  <c:v>89677.571428571435</c:v>
                </c:pt>
                <c:pt idx="3">
                  <c:v>88347.428571428565</c:v>
                </c:pt>
                <c:pt idx="4">
                  <c:v>89398.857142857145</c:v>
                </c:pt>
                <c:pt idx="5">
                  <c:v>90884.571428571435</c:v>
                </c:pt>
                <c:pt idx="6">
                  <c:v>90895.428571428565</c:v>
                </c:pt>
                <c:pt idx="7">
                  <c:v>90505.571428571435</c:v>
                </c:pt>
                <c:pt idx="8">
                  <c:v>90643.142857142855</c:v>
                </c:pt>
                <c:pt idx="9">
                  <c:v>90539</c:v>
                </c:pt>
                <c:pt idx="10">
                  <c:v>89811.571428571435</c:v>
                </c:pt>
                <c:pt idx="11">
                  <c:v>89457.571428571435</c:v>
                </c:pt>
                <c:pt idx="12">
                  <c:v>89619.142857142855</c:v>
                </c:pt>
              </c:numCache>
            </c:numRef>
          </c:val>
          <c:smooth val="0"/>
          <c:extLst>
            <c:ext xmlns:c16="http://schemas.microsoft.com/office/drawing/2014/chart" uri="{C3380CC4-5D6E-409C-BE32-E72D297353CC}">
              <c16:uniqueId val="{00000001-C4E5-4C27-B463-332B80ADCEDA}"/>
            </c:ext>
          </c:extLst>
        </c:ser>
        <c:ser>
          <c:idx val="2"/>
          <c:order val="2"/>
          <c:tx>
            <c:v>19/20</c:v>
          </c:tx>
          <c:spPr>
            <a:ln w="25400">
              <a:solidFill>
                <a:srgbClr val="F79131"/>
              </a:solidFill>
              <a:prstDash val="sysDot"/>
            </a:ln>
          </c:spPr>
          <c:marker>
            <c:symbol val="none"/>
          </c:marker>
          <c:val>
            <c:numRef>
              <c:f>Summary!$D$49:$P$49</c:f>
              <c:numCache>
                <c:formatCode>#,##0</c:formatCode>
                <c:ptCount val="13"/>
                <c:pt idx="0">
                  <c:v>96675</c:v>
                </c:pt>
                <c:pt idx="1">
                  <c:v>97067.71428571429</c:v>
                </c:pt>
                <c:pt idx="2">
                  <c:v>97017.857142857145</c:v>
                </c:pt>
                <c:pt idx="3">
                  <c:v>95816.71428571429</c:v>
                </c:pt>
                <c:pt idx="4">
                  <c:v>97143.142857142855</c:v>
                </c:pt>
                <c:pt idx="5">
                  <c:v>98417.571428571435</c:v>
                </c:pt>
                <c:pt idx="6">
                  <c:v>98204</c:v>
                </c:pt>
                <c:pt idx="7">
                  <c:v>97990</c:v>
                </c:pt>
                <c:pt idx="8">
                  <c:v>98031.142857142855</c:v>
                </c:pt>
                <c:pt idx="9">
                  <c:v>97854.71428571429</c:v>
                </c:pt>
                <c:pt idx="10">
                  <c:v>97860.142857142855</c:v>
                </c:pt>
                <c:pt idx="11">
                  <c:v>97790.28571428571</c:v>
                </c:pt>
                <c:pt idx="12">
                  <c:v>97553.857142857145</c:v>
                </c:pt>
              </c:numCache>
            </c:numRef>
          </c:val>
          <c:smooth val="0"/>
          <c:extLst>
            <c:ext xmlns:c16="http://schemas.microsoft.com/office/drawing/2014/chart" uri="{C3380CC4-5D6E-409C-BE32-E72D297353CC}">
              <c16:uniqueId val="{00000002-C4E5-4C27-B463-332B80ADCEDA}"/>
            </c:ext>
          </c:extLst>
        </c:ser>
        <c:dLbls>
          <c:showLegendKey val="0"/>
          <c:showVal val="0"/>
          <c:showCatName val="0"/>
          <c:showSerName val="0"/>
          <c:showPercent val="0"/>
          <c:showBubbleSize val="0"/>
        </c:dLbls>
        <c:marker val="1"/>
        <c:smooth val="0"/>
        <c:axId val="563149440"/>
        <c:axId val="563173632"/>
      </c:lineChart>
      <c:catAx>
        <c:axId val="563149440"/>
        <c:scaling>
          <c:orientation val="minMax"/>
        </c:scaling>
        <c:delete val="0"/>
        <c:axPos val="b"/>
        <c:title>
          <c:tx>
            <c:rich>
              <a:bodyPr/>
              <a:lstStyle/>
              <a:p>
                <a:pPr>
                  <a:defRPr/>
                </a:pPr>
                <a:r>
                  <a:rPr lang="en-US"/>
                  <a:t>Week</a:t>
                </a:r>
              </a:p>
            </c:rich>
          </c:tx>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563173632"/>
        <c:crosses val="autoZero"/>
        <c:auto val="1"/>
        <c:lblAlgn val="ctr"/>
        <c:lblOffset val="100"/>
        <c:noMultiLvlLbl val="0"/>
      </c:catAx>
      <c:valAx>
        <c:axId val="563173632"/>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3149440"/>
        <c:crosses val="autoZero"/>
        <c:crossBetween val="between"/>
      </c:valAx>
    </c:plotArea>
    <c:legend>
      <c:legendPos val="r"/>
      <c:layout>
        <c:manualLayout>
          <c:xMode val="edge"/>
          <c:yMode val="edge"/>
          <c:x val="0.34300941722396611"/>
          <c:y val="3.0690781210751194E-3"/>
          <c:w val="0.65247905008871299"/>
          <c:h val="9.9303394476069992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Summary!$C$95</c:f>
              <c:strCache>
                <c:ptCount val="1"/>
                <c:pt idx="0">
                  <c:v>21/22</c:v>
                </c:pt>
              </c:strCache>
            </c:strRef>
          </c:tx>
          <c:spPr>
            <a:solidFill>
              <a:srgbClr val="00A89C"/>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Summary!$D$95:$P$95</c:f>
              <c:numCache>
                <c:formatCode>#,##0</c:formatCode>
                <c:ptCount val="13"/>
                <c:pt idx="0">
                  <c:v>23685.142857142859</c:v>
                </c:pt>
                <c:pt idx="1">
                  <c:v>23970</c:v>
                </c:pt>
                <c:pt idx="2">
                  <c:v>24314.428571428572</c:v>
                </c:pt>
                <c:pt idx="3">
                  <c:v>23019.571428571428</c:v>
                </c:pt>
                <c:pt idx="4">
                  <c:v>23660</c:v>
                </c:pt>
                <c:pt idx="5">
                  <c:v>26352.714285714286</c:v>
                </c:pt>
                <c:pt idx="6">
                  <c:v>27050.571428571428</c:v>
                </c:pt>
                <c:pt idx="7">
                  <c:v>26662</c:v>
                </c:pt>
                <c:pt idx="8">
                  <c:v>26422</c:v>
                </c:pt>
                <c:pt idx="9">
                  <c:v>26299.857142857141</c:v>
                </c:pt>
                <c:pt idx="10">
                  <c:v>25964.571428571428</c:v>
                </c:pt>
                <c:pt idx="11">
                  <c:v>25999.428571428572</c:v>
                </c:pt>
                <c:pt idx="12">
                  <c:v>26093.714285714286</c:v>
                </c:pt>
              </c:numCache>
            </c:numRef>
          </c:val>
          <c:extLst>
            <c:ext xmlns:c16="http://schemas.microsoft.com/office/drawing/2014/chart" uri="{C3380CC4-5D6E-409C-BE32-E72D297353CC}">
              <c16:uniqueId val="{00000000-07CB-4E2A-AE55-88698CBB6D9B}"/>
            </c:ext>
          </c:extLst>
        </c:ser>
        <c:dLbls>
          <c:showLegendKey val="0"/>
          <c:showVal val="0"/>
          <c:showCatName val="0"/>
          <c:showSerName val="0"/>
          <c:showPercent val="0"/>
          <c:showBubbleSize val="0"/>
        </c:dLbls>
        <c:gapWidth val="50"/>
        <c:axId val="564020736"/>
        <c:axId val="564022656"/>
      </c:barChart>
      <c:lineChart>
        <c:grouping val="standard"/>
        <c:varyColors val="0"/>
        <c:ser>
          <c:idx val="0"/>
          <c:order val="1"/>
          <c:tx>
            <c:strRef>
              <c:f>Summary!$C$93</c:f>
              <c:strCache>
                <c:ptCount val="1"/>
                <c:pt idx="0">
                  <c:v>20/21</c:v>
                </c:pt>
              </c:strCache>
            </c:strRef>
          </c:tx>
          <c:spPr>
            <a:ln w="25400">
              <a:solidFill>
                <a:srgbClr val="C00848"/>
              </a:solidFill>
              <a:prstDash val="dash"/>
            </a:ln>
          </c:spPr>
          <c:marker>
            <c:symbol val="none"/>
          </c:marker>
          <c:val>
            <c:numRef>
              <c:f>Summary!$D$93:$P$93</c:f>
              <c:numCache>
                <c:formatCode>#,##0</c:formatCode>
                <c:ptCount val="13"/>
                <c:pt idx="0">
                  <c:v>18825</c:v>
                </c:pt>
                <c:pt idx="1">
                  <c:v>18986.714285714286</c:v>
                </c:pt>
                <c:pt idx="2">
                  <c:v>19415.857142857141</c:v>
                </c:pt>
                <c:pt idx="3">
                  <c:v>19112.714285714286</c:v>
                </c:pt>
                <c:pt idx="4">
                  <c:v>19970.857142857141</c:v>
                </c:pt>
                <c:pt idx="5">
                  <c:v>20653.714285714286</c:v>
                </c:pt>
                <c:pt idx="6">
                  <c:v>19736</c:v>
                </c:pt>
                <c:pt idx="7">
                  <c:v>19302.285714285714</c:v>
                </c:pt>
                <c:pt idx="8">
                  <c:v>19256.285714285714</c:v>
                </c:pt>
                <c:pt idx="9">
                  <c:v>19522.571428571428</c:v>
                </c:pt>
                <c:pt idx="10">
                  <c:v>19380.142857142859</c:v>
                </c:pt>
                <c:pt idx="11">
                  <c:v>19201.428571428572</c:v>
                </c:pt>
                <c:pt idx="12">
                  <c:v>18957.428571428572</c:v>
                </c:pt>
              </c:numCache>
            </c:numRef>
          </c:val>
          <c:smooth val="0"/>
          <c:extLst>
            <c:ext xmlns:c16="http://schemas.microsoft.com/office/drawing/2014/chart" uri="{C3380CC4-5D6E-409C-BE32-E72D297353CC}">
              <c16:uniqueId val="{00000001-07CB-4E2A-AE55-88698CBB6D9B}"/>
            </c:ext>
          </c:extLst>
        </c:ser>
        <c:ser>
          <c:idx val="2"/>
          <c:order val="2"/>
          <c:tx>
            <c:v>19/20</c:v>
          </c:tx>
          <c:spPr>
            <a:ln w="22225" cap="flat" cmpd="sng" algn="ctr">
              <a:solidFill>
                <a:srgbClr val="F79131"/>
              </a:solidFill>
              <a:prstDash val="sysDot"/>
            </a:ln>
            <a:effectLst/>
          </c:spPr>
          <c:marker>
            <c:symbol val="none"/>
          </c:marker>
          <c:val>
            <c:numRef>
              <c:f>Summary!$D$92:$P$92</c:f>
              <c:numCache>
                <c:formatCode>General</c:formatCode>
                <c:ptCount val="13"/>
                <c:pt idx="0">
                  <c:v>24440.428571428572</c:v>
                </c:pt>
                <c:pt idx="1">
                  <c:v>24255</c:v>
                </c:pt>
                <c:pt idx="2">
                  <c:v>23700.571428571428</c:v>
                </c:pt>
                <c:pt idx="3">
                  <c:v>23240.142857142859</c:v>
                </c:pt>
                <c:pt idx="4">
                  <c:v>26075.857142857141</c:v>
                </c:pt>
                <c:pt idx="5">
                  <c:v>26588.571428571428</c:v>
                </c:pt>
                <c:pt idx="6">
                  <c:v>25931.428571428572</c:v>
                </c:pt>
                <c:pt idx="7">
                  <c:v>26034.571428571428</c:v>
                </c:pt>
                <c:pt idx="8">
                  <c:v>25894.285714285714</c:v>
                </c:pt>
                <c:pt idx="9">
                  <c:v>25497</c:v>
                </c:pt>
                <c:pt idx="10">
                  <c:v>25639.714285714286</c:v>
                </c:pt>
                <c:pt idx="11">
                  <c:v>25406.142857142859</c:v>
                </c:pt>
                <c:pt idx="12">
                  <c:v>25337.428571428572</c:v>
                </c:pt>
              </c:numCache>
            </c:numRef>
          </c:val>
          <c:smooth val="0"/>
          <c:extLst>
            <c:ext xmlns:c16="http://schemas.microsoft.com/office/drawing/2014/chart" uri="{C3380CC4-5D6E-409C-BE32-E72D297353CC}">
              <c16:uniqueId val="{00000000-020C-4E10-B39A-76CFECA96E9D}"/>
            </c:ext>
          </c:extLst>
        </c:ser>
        <c:dLbls>
          <c:showLegendKey val="0"/>
          <c:showVal val="0"/>
          <c:showCatName val="0"/>
          <c:showSerName val="0"/>
          <c:showPercent val="0"/>
          <c:showBubbleSize val="0"/>
        </c:dLbls>
        <c:marker val="1"/>
        <c:smooth val="0"/>
        <c:axId val="564020736"/>
        <c:axId val="564022656"/>
      </c:lineChart>
      <c:catAx>
        <c:axId val="56402073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4022656"/>
        <c:crosses val="autoZero"/>
        <c:auto val="1"/>
        <c:lblAlgn val="ctr"/>
        <c:lblOffset val="100"/>
        <c:noMultiLvlLbl val="0"/>
      </c:catAx>
      <c:valAx>
        <c:axId val="564022656"/>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4020736"/>
        <c:crosses val="autoZero"/>
        <c:crossBetween val="between"/>
      </c:valAx>
    </c:plotArea>
    <c:legend>
      <c:legendPos val="r"/>
      <c:layout>
        <c:manualLayout>
          <c:xMode val="edge"/>
          <c:yMode val="edge"/>
          <c:x val="0.50946872561181189"/>
          <c:y val="8.2540363968860997E-3"/>
          <c:w val="0.49002037192711922"/>
          <c:h val="0.117357027478844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Summary!$C$234</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Summary!$D$234:$P$234</c:f>
              <c:numCache>
                <c:formatCode>0.0%</c:formatCode>
                <c:ptCount val="13"/>
                <c:pt idx="0">
                  <c:v>0.23084166736199682</c:v>
                </c:pt>
                <c:pt idx="1">
                  <c:v>0.23231685527099463</c:v>
                </c:pt>
                <c:pt idx="2">
                  <c:v>0.19642109043030703</c:v>
                </c:pt>
                <c:pt idx="3">
                  <c:v>0.13358875194274769</c:v>
                </c:pt>
                <c:pt idx="4">
                  <c:v>0.22834768053562887</c:v>
                </c:pt>
                <c:pt idx="5">
                  <c:v>0.22565297242662918</c:v>
                </c:pt>
                <c:pt idx="6">
                  <c:v>0.17920369882375489</c:v>
                </c:pt>
                <c:pt idx="7">
                  <c:v>0.18461178397987243</c:v>
                </c:pt>
                <c:pt idx="8">
                  <c:v>0.20104195739138525</c:v>
                </c:pt>
                <c:pt idx="9">
                  <c:v>0.21394971423195427</c:v>
                </c:pt>
                <c:pt idx="10">
                  <c:v>0.19956258333138407</c:v>
                </c:pt>
                <c:pt idx="11">
                  <c:v>0.21020644642561545</c:v>
                </c:pt>
                <c:pt idx="12">
                  <c:v>0.2177392778117791</c:v>
                </c:pt>
              </c:numCache>
            </c:numRef>
          </c:val>
          <c:extLst>
            <c:ext xmlns:c16="http://schemas.microsoft.com/office/drawing/2014/chart" uri="{C3380CC4-5D6E-409C-BE32-E72D297353CC}">
              <c16:uniqueId val="{00000000-319D-4CD2-BF65-6BE46F42B4DB}"/>
            </c:ext>
          </c:extLst>
        </c:ser>
        <c:dLbls>
          <c:showLegendKey val="0"/>
          <c:showVal val="0"/>
          <c:showCatName val="0"/>
          <c:showSerName val="0"/>
          <c:showPercent val="0"/>
          <c:showBubbleSize val="0"/>
        </c:dLbls>
        <c:gapWidth val="50"/>
        <c:axId val="565834112"/>
        <c:axId val="565836800"/>
      </c:barChart>
      <c:lineChart>
        <c:grouping val="standard"/>
        <c:varyColors val="0"/>
        <c:ser>
          <c:idx val="0"/>
          <c:order val="1"/>
          <c:tx>
            <c:strRef>
              <c:f>Summary!$C$232</c:f>
              <c:strCache>
                <c:ptCount val="1"/>
                <c:pt idx="0">
                  <c:v>20/21</c:v>
                </c:pt>
              </c:strCache>
            </c:strRef>
          </c:tx>
          <c:spPr>
            <a:ln w="25400">
              <a:solidFill>
                <a:srgbClr val="C00848"/>
              </a:solidFill>
              <a:prstDash val="sysDash"/>
            </a:ln>
          </c:spPr>
          <c:marker>
            <c:symbol val="none"/>
          </c:marker>
          <c:val>
            <c:numRef>
              <c:f>Summary!$D$232:$P$232</c:f>
              <c:numCache>
                <c:formatCode>0.0%</c:formatCode>
                <c:ptCount val="13"/>
                <c:pt idx="0">
                  <c:v>0.11035858781799035</c:v>
                </c:pt>
                <c:pt idx="1">
                  <c:v>0.1453943873937677</c:v>
                </c:pt>
                <c:pt idx="2">
                  <c:v>0.14659133033036406</c:v>
                </c:pt>
                <c:pt idx="3">
                  <c:v>0.10736136008789683</c:v>
                </c:pt>
                <c:pt idx="4">
                  <c:v>0.159622356330022</c:v>
                </c:pt>
                <c:pt idx="5">
                  <c:v>0.17174862879985126</c:v>
                </c:pt>
                <c:pt idx="6">
                  <c:v>0.12635676932016271</c:v>
                </c:pt>
                <c:pt idx="7">
                  <c:v>0.13006408595852997</c:v>
                </c:pt>
                <c:pt idx="8">
                  <c:v>0.10975788701393983</c:v>
                </c:pt>
                <c:pt idx="9">
                  <c:v>8.7722924633387309E-2</c:v>
                </c:pt>
                <c:pt idx="10">
                  <c:v>7.0811967822364402E-2</c:v>
                </c:pt>
                <c:pt idx="11">
                  <c:v>9.4951750362010451E-2</c:v>
                </c:pt>
                <c:pt idx="12">
                  <c:v>8.2179960261141077E-2</c:v>
                </c:pt>
              </c:numCache>
            </c:numRef>
          </c:val>
          <c:smooth val="0"/>
          <c:extLst>
            <c:ext xmlns:c16="http://schemas.microsoft.com/office/drawing/2014/chart" uri="{C3380CC4-5D6E-409C-BE32-E72D297353CC}">
              <c16:uniqueId val="{00000001-319D-4CD2-BF65-6BE46F42B4DB}"/>
            </c:ext>
          </c:extLst>
        </c:ser>
        <c:ser>
          <c:idx val="2"/>
          <c:order val="2"/>
          <c:tx>
            <c:v>19/20</c:v>
          </c:tx>
          <c:spPr>
            <a:ln w="25400">
              <a:solidFill>
                <a:srgbClr val="F79131"/>
              </a:solidFill>
              <a:prstDash val="sysDot"/>
            </a:ln>
          </c:spPr>
          <c:marker>
            <c:symbol val="none"/>
          </c:marker>
          <c:val>
            <c:numRef>
              <c:f>Summary!$D$231:$P$231</c:f>
              <c:numCache>
                <c:formatCode>0.0%</c:formatCode>
                <c:ptCount val="13"/>
                <c:pt idx="0">
                  <c:v>0.14580191552896762</c:v>
                </c:pt>
                <c:pt idx="1">
                  <c:v>0.16260829548410333</c:v>
                </c:pt>
                <c:pt idx="2">
                  <c:v>0.17464612822647793</c:v>
                </c:pt>
                <c:pt idx="3">
                  <c:v>0.14498062054830657</c:v>
                </c:pt>
                <c:pt idx="4">
                  <c:v>0.1814773936302439</c:v>
                </c:pt>
                <c:pt idx="5">
                  <c:v>0.16348785226346904</c:v>
                </c:pt>
                <c:pt idx="6">
                  <c:v>0.13131665820213306</c:v>
                </c:pt>
                <c:pt idx="7">
                  <c:v>0.11060714400059765</c:v>
                </c:pt>
                <c:pt idx="8">
                  <c:v>0.14339145660439914</c:v>
                </c:pt>
                <c:pt idx="9">
                  <c:v>0.12353892993250867</c:v>
                </c:pt>
                <c:pt idx="10">
                  <c:v>0.1246746376044863</c:v>
                </c:pt>
                <c:pt idx="11">
                  <c:v>0.12125818028287946</c:v>
                </c:pt>
                <c:pt idx="12">
                  <c:v>0.12861921298762172</c:v>
                </c:pt>
              </c:numCache>
            </c:numRef>
          </c:val>
          <c:smooth val="0"/>
          <c:extLst>
            <c:ext xmlns:c16="http://schemas.microsoft.com/office/drawing/2014/chart" uri="{C3380CC4-5D6E-409C-BE32-E72D297353CC}">
              <c16:uniqueId val="{00000002-319D-4CD2-BF65-6BE46F42B4DB}"/>
            </c:ext>
          </c:extLst>
        </c:ser>
        <c:dLbls>
          <c:showLegendKey val="0"/>
          <c:showVal val="0"/>
          <c:showCatName val="0"/>
          <c:showSerName val="0"/>
          <c:showPercent val="0"/>
          <c:showBubbleSize val="0"/>
        </c:dLbls>
        <c:marker val="1"/>
        <c:smooth val="0"/>
        <c:axId val="565834112"/>
        <c:axId val="565836800"/>
      </c:lineChart>
      <c:catAx>
        <c:axId val="56583411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5836800"/>
        <c:crosses val="autoZero"/>
        <c:auto val="1"/>
        <c:lblAlgn val="ctr"/>
        <c:lblOffset val="100"/>
        <c:noMultiLvlLbl val="0"/>
      </c:catAx>
      <c:valAx>
        <c:axId val="565836800"/>
        <c:scaling>
          <c:orientation val="minMax"/>
        </c:scaling>
        <c:delete val="0"/>
        <c:axPos val="l"/>
        <c:numFmt formatCode="0.0%" sourceLinked="0"/>
        <c:majorTickMark val="none"/>
        <c:minorTickMark val="none"/>
        <c:tickLblPos val="nextTo"/>
        <c:spPr>
          <a:ln w="50800">
            <a:solidFill>
              <a:srgbClr val="CED8DD"/>
            </a:solidFill>
          </a:ln>
        </c:spPr>
        <c:txPr>
          <a:bodyPr/>
          <a:lstStyle/>
          <a:p>
            <a:pPr>
              <a:defRPr sz="800" b="1"/>
            </a:pPr>
            <a:endParaRPr lang="en-US"/>
          </a:p>
        </c:txPr>
        <c:crossAx val="565834112"/>
        <c:crosses val="autoZero"/>
        <c:crossBetween val="between"/>
      </c:valAx>
    </c:plotArea>
    <c:legend>
      <c:legendPos val="r"/>
      <c:layout>
        <c:manualLayout>
          <c:xMode val="edge"/>
          <c:yMode val="edge"/>
          <c:x val="0.55005014468760471"/>
          <c:y val="9.553811081287656E-3"/>
          <c:w val="0.44225890529973938"/>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Summary!$C$312</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Summary!$D$312:$P$312</c:f>
            </c:numRef>
          </c:val>
          <c:extLst>
            <c:ext xmlns:c16="http://schemas.microsoft.com/office/drawing/2014/chart" uri="{C3380CC4-5D6E-409C-BE32-E72D297353CC}">
              <c16:uniqueId val="{00000000-114A-4476-BCCF-CF82A82166DD}"/>
            </c:ext>
          </c:extLst>
        </c:ser>
        <c:dLbls>
          <c:showLegendKey val="0"/>
          <c:showVal val="0"/>
          <c:showCatName val="0"/>
          <c:showSerName val="0"/>
          <c:showPercent val="0"/>
          <c:showBubbleSize val="0"/>
        </c:dLbls>
        <c:gapWidth val="50"/>
        <c:axId val="562204672"/>
        <c:axId val="562207744"/>
      </c:barChart>
      <c:catAx>
        <c:axId val="5622046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70414095566986457"/>
          <c:y val="9.553811081287656E-3"/>
          <c:w val="0.28816825898242421"/>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Summary!$C$285</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Summary!$D$285:$P$285</c:f>
              <c:numCache>
                <c:formatCode>0</c:formatCode>
                <c:ptCount val="13"/>
                <c:pt idx="0">
                  <c:v>171</c:v>
                </c:pt>
                <c:pt idx="1">
                  <c:v>162</c:v>
                </c:pt>
                <c:pt idx="2">
                  <c:v>173</c:v>
                </c:pt>
                <c:pt idx="3">
                  <c:v>93</c:v>
                </c:pt>
                <c:pt idx="4">
                  <c:v>148</c:v>
                </c:pt>
                <c:pt idx="5">
                  <c:v>86</c:v>
                </c:pt>
                <c:pt idx="6">
                  <c:v>59</c:v>
                </c:pt>
                <c:pt idx="7">
                  <c:v>30</c:v>
                </c:pt>
                <c:pt idx="8">
                  <c:v>53</c:v>
                </c:pt>
                <c:pt idx="9">
                  <c:v>21</c:v>
                </c:pt>
                <c:pt idx="10">
                  <c:v>36</c:v>
                </c:pt>
                <c:pt idx="11">
                  <c:v>58</c:v>
                </c:pt>
                <c:pt idx="12">
                  <c:v>42</c:v>
                </c:pt>
              </c:numCache>
            </c:numRef>
          </c:val>
          <c:extLst>
            <c:ext xmlns:c16="http://schemas.microsoft.com/office/drawing/2014/chart" uri="{C3380CC4-5D6E-409C-BE32-E72D297353CC}">
              <c16:uniqueId val="{00000000-6812-4235-BD83-CC22EFA27902}"/>
            </c:ext>
          </c:extLst>
        </c:ser>
        <c:dLbls>
          <c:showLegendKey val="0"/>
          <c:showVal val="0"/>
          <c:showCatName val="0"/>
          <c:showSerName val="0"/>
          <c:showPercent val="0"/>
          <c:showBubbleSize val="0"/>
        </c:dLbls>
        <c:gapWidth val="50"/>
        <c:axId val="562204672"/>
        <c:axId val="562207744"/>
      </c:barChart>
      <c:catAx>
        <c:axId val="5622046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max val="1000"/>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70414095566986457"/>
          <c:y val="9.553811081287656E-3"/>
          <c:w val="0.28816825898242421"/>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Summary!$C$296</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Summary!$D$296:$P$296</c:f>
              <c:numCache>
                <c:formatCode>0</c:formatCode>
                <c:ptCount val="13"/>
                <c:pt idx="0">
                  <c:v>16</c:v>
                </c:pt>
                <c:pt idx="1">
                  <c:v>4</c:v>
                </c:pt>
                <c:pt idx="2">
                  <c:v>13</c:v>
                </c:pt>
                <c:pt idx="3">
                  <c:v>3</c:v>
                </c:pt>
                <c:pt idx="4">
                  <c:v>11</c:v>
                </c:pt>
                <c:pt idx="5">
                  <c:v>4</c:v>
                </c:pt>
                <c:pt idx="6">
                  <c:v>6</c:v>
                </c:pt>
                <c:pt idx="7">
                  <c:v>2</c:v>
                </c:pt>
                <c:pt idx="8">
                  <c:v>13</c:v>
                </c:pt>
                <c:pt idx="9">
                  <c:v>3</c:v>
                </c:pt>
                <c:pt idx="10">
                  <c:v>3</c:v>
                </c:pt>
                <c:pt idx="11">
                  <c:v>4</c:v>
                </c:pt>
                <c:pt idx="12">
                  <c:v>0</c:v>
                </c:pt>
              </c:numCache>
            </c:numRef>
          </c:val>
          <c:extLst>
            <c:ext xmlns:c16="http://schemas.microsoft.com/office/drawing/2014/chart" uri="{C3380CC4-5D6E-409C-BE32-E72D297353CC}">
              <c16:uniqueId val="{00000000-1073-4BF4-82DF-21E2F8F9F1BB}"/>
            </c:ext>
          </c:extLst>
        </c:ser>
        <c:dLbls>
          <c:showLegendKey val="0"/>
          <c:showVal val="0"/>
          <c:showCatName val="0"/>
          <c:showSerName val="0"/>
          <c:showPercent val="0"/>
          <c:showBubbleSize val="0"/>
        </c:dLbls>
        <c:gapWidth val="50"/>
        <c:axId val="562204672"/>
        <c:axId val="562207744"/>
      </c:barChart>
      <c:catAx>
        <c:axId val="5622046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max val="80"/>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70414095566986457"/>
          <c:y val="9.553811081287656E-3"/>
          <c:w val="0.28816825898242421"/>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Summary!$C$261</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Summary!$D$261:$P$261</c:f>
              <c:numCache>
                <c:formatCode>0</c:formatCode>
                <c:ptCount val="13"/>
                <c:pt idx="0">
                  <c:v>218</c:v>
                </c:pt>
                <c:pt idx="1">
                  <c:v>173</c:v>
                </c:pt>
                <c:pt idx="2">
                  <c:v>210</c:v>
                </c:pt>
                <c:pt idx="3">
                  <c:v>224</c:v>
                </c:pt>
                <c:pt idx="4">
                  <c:v>258</c:v>
                </c:pt>
                <c:pt idx="5">
                  <c:v>318</c:v>
                </c:pt>
                <c:pt idx="6">
                  <c:v>252</c:v>
                </c:pt>
                <c:pt idx="7">
                  <c:v>227</c:v>
                </c:pt>
                <c:pt idx="8">
                  <c:v>232</c:v>
                </c:pt>
                <c:pt idx="9">
                  <c:v>223</c:v>
                </c:pt>
                <c:pt idx="10">
                  <c:v>172</c:v>
                </c:pt>
                <c:pt idx="11">
                  <c:v>186</c:v>
                </c:pt>
                <c:pt idx="12">
                  <c:v>238</c:v>
                </c:pt>
              </c:numCache>
            </c:numRef>
          </c:val>
          <c:extLst>
            <c:ext xmlns:c16="http://schemas.microsoft.com/office/drawing/2014/chart" uri="{C3380CC4-5D6E-409C-BE32-E72D297353CC}">
              <c16:uniqueId val="{00000000-FB5F-431B-A789-8F2BD0025582}"/>
            </c:ext>
          </c:extLst>
        </c:ser>
        <c:dLbls>
          <c:showLegendKey val="0"/>
          <c:showVal val="0"/>
          <c:showCatName val="0"/>
          <c:showSerName val="0"/>
          <c:showPercent val="0"/>
          <c:showBubbleSize val="0"/>
        </c:dLbls>
        <c:gapWidth val="50"/>
        <c:axId val="562204672"/>
        <c:axId val="562207744"/>
      </c:barChart>
      <c:catAx>
        <c:axId val="5622046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max val="1050"/>
          <c:min val="0"/>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70414095566986457"/>
          <c:y val="9.553811081287656E-3"/>
          <c:w val="0.28816825898242421"/>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Summary!$C$272</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Summary!$D$272:$P$272</c:f>
              <c:numCache>
                <c:formatCode>0</c:formatCode>
                <c:ptCount val="13"/>
                <c:pt idx="0">
                  <c:v>18</c:v>
                </c:pt>
                <c:pt idx="1">
                  <c:v>5</c:v>
                </c:pt>
                <c:pt idx="2">
                  <c:v>17</c:v>
                </c:pt>
                <c:pt idx="3">
                  <c:v>13</c:v>
                </c:pt>
                <c:pt idx="4">
                  <c:v>11</c:v>
                </c:pt>
                <c:pt idx="5">
                  <c:v>19</c:v>
                </c:pt>
                <c:pt idx="6">
                  <c:v>29</c:v>
                </c:pt>
                <c:pt idx="7">
                  <c:v>12</c:v>
                </c:pt>
                <c:pt idx="8">
                  <c:v>9</c:v>
                </c:pt>
                <c:pt idx="9">
                  <c:v>15</c:v>
                </c:pt>
                <c:pt idx="10">
                  <c:v>16</c:v>
                </c:pt>
                <c:pt idx="11">
                  <c:v>14</c:v>
                </c:pt>
                <c:pt idx="12">
                  <c:v>17</c:v>
                </c:pt>
              </c:numCache>
            </c:numRef>
          </c:val>
          <c:extLst>
            <c:ext xmlns:c16="http://schemas.microsoft.com/office/drawing/2014/chart" uri="{C3380CC4-5D6E-409C-BE32-E72D297353CC}">
              <c16:uniqueId val="{00000000-A423-47C9-AD10-05C779B71733}"/>
            </c:ext>
          </c:extLst>
        </c:ser>
        <c:dLbls>
          <c:showLegendKey val="0"/>
          <c:showVal val="0"/>
          <c:showCatName val="0"/>
          <c:showSerName val="0"/>
          <c:showPercent val="0"/>
          <c:showBubbleSize val="0"/>
        </c:dLbls>
        <c:gapWidth val="50"/>
        <c:axId val="562204672"/>
        <c:axId val="562207744"/>
      </c:barChart>
      <c:catAx>
        <c:axId val="5622046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max val="80"/>
          <c:min val="0"/>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70414095566986457"/>
          <c:y val="9.553811081287656E-3"/>
          <c:w val="0.28816825898242421"/>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800">
                <a:latin typeface="+mn-lt"/>
              </a:rPr>
              <a:t>G&amp;A</a:t>
            </a:r>
            <a:r>
              <a:rPr lang="en-GB" sz="800" baseline="0">
                <a:latin typeface="+mn-lt"/>
              </a:rPr>
              <a:t> bed occupancy </a:t>
            </a:r>
            <a:endParaRPr lang="en-GB" sz="800">
              <a:latin typeface="+mn-lt"/>
            </a:endParaRPr>
          </a:p>
        </c:rich>
      </c:tx>
      <c:layout>
        <c:manualLayout>
          <c:xMode val="edge"/>
          <c:yMode val="edge"/>
          <c:x val="0.13809253446158049"/>
          <c:y val="2.1421041534893527E-2"/>
        </c:manualLayout>
      </c:layout>
      <c:overlay val="1"/>
    </c:title>
    <c:autoTitleDeleted val="0"/>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Summary!$C$65</c:f>
              <c:strCache>
                <c:ptCount val="1"/>
                <c:pt idx="0">
                  <c:v>21/22</c:v>
                </c:pt>
              </c:strCache>
            </c:strRef>
          </c:tx>
          <c:spPr>
            <a:solidFill>
              <a:srgbClr val="00A89C"/>
            </a:solidFill>
            <a:ln w="19050"/>
          </c:spPr>
          <c:invertIfNegative val="0"/>
          <c:cat>
            <c:strRef>
              <c:f>Summary!$D$4:$P$4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Summary!$D$65:$P$65</c:f>
              <c:numCache>
                <c:formatCode>0.0%</c:formatCode>
                <c:ptCount val="13"/>
                <c:pt idx="0">
                  <c:v>0.92959391552356374</c:v>
                </c:pt>
                <c:pt idx="1">
                  <c:v>0.93463182126907607</c:v>
                </c:pt>
                <c:pt idx="2">
                  <c:v>0.92344446500488186</c:v>
                </c:pt>
                <c:pt idx="3">
                  <c:v>0.86290068538188403</c:v>
                </c:pt>
                <c:pt idx="4">
                  <c:v>0.88462696333068125</c:v>
                </c:pt>
                <c:pt idx="5">
                  <c:v>0.9177780428405129</c:v>
                </c:pt>
                <c:pt idx="6">
                  <c:v>0.91905336577550878</c:v>
                </c:pt>
                <c:pt idx="7">
                  <c:v>0.91875243617778568</c:v>
                </c:pt>
                <c:pt idx="8">
                  <c:v>0.92302686915362386</c:v>
                </c:pt>
                <c:pt idx="9">
                  <c:v>0.92786676852194461</c:v>
                </c:pt>
                <c:pt idx="10">
                  <c:v>0.92509493405527143</c:v>
                </c:pt>
                <c:pt idx="11">
                  <c:v>0.92475559619659353</c:v>
                </c:pt>
                <c:pt idx="12">
                  <c:v>0.92450274534122789</c:v>
                </c:pt>
              </c:numCache>
            </c:numRef>
          </c:val>
          <c:extLst>
            <c:ext xmlns:c16="http://schemas.microsoft.com/office/drawing/2014/chart" uri="{C3380CC4-5D6E-409C-BE32-E72D297353CC}">
              <c16:uniqueId val="{00000000-E34C-4F7F-AD58-E0FD6D5E6F59}"/>
            </c:ext>
          </c:extLst>
        </c:ser>
        <c:dLbls>
          <c:showLegendKey val="0"/>
          <c:showVal val="0"/>
          <c:showCatName val="0"/>
          <c:showSerName val="0"/>
          <c:showPercent val="0"/>
          <c:showBubbleSize val="0"/>
        </c:dLbls>
        <c:gapWidth val="50"/>
        <c:axId val="219400832"/>
        <c:axId val="219951872"/>
      </c:barChart>
      <c:lineChart>
        <c:grouping val="standard"/>
        <c:varyColors val="0"/>
        <c:ser>
          <c:idx val="0"/>
          <c:order val="0"/>
          <c:tx>
            <c:strRef>
              <c:f>Summary!$C$63</c:f>
              <c:strCache>
                <c:ptCount val="1"/>
                <c:pt idx="0">
                  <c:v>20/21</c:v>
                </c:pt>
              </c:strCache>
            </c:strRef>
          </c:tx>
          <c:spPr>
            <a:ln w="25400">
              <a:solidFill>
                <a:srgbClr val="C00848"/>
              </a:solidFill>
              <a:prstDash val="dash"/>
            </a:ln>
          </c:spPr>
          <c:marker>
            <c:symbol val="none"/>
          </c:marker>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Summary!$D$63:$P$63</c:f>
              <c:numCache>
                <c:formatCode>0.0%</c:formatCode>
                <c:ptCount val="13"/>
                <c:pt idx="0">
                  <c:v>0.87132848938056506</c:v>
                </c:pt>
                <c:pt idx="1">
                  <c:v>0.88944465840683073</c:v>
                </c:pt>
                <c:pt idx="2">
                  <c:v>0.88805132036518131</c:v>
                </c:pt>
                <c:pt idx="3">
                  <c:v>0.82878958398013036</c:v>
                </c:pt>
                <c:pt idx="4">
                  <c:v>0.86668413786050313</c:v>
                </c:pt>
                <c:pt idx="5">
                  <c:v>0.88654682863035061</c:v>
                </c:pt>
                <c:pt idx="6">
                  <c:v>0.87229437909811591</c:v>
                </c:pt>
                <c:pt idx="7">
                  <c:v>0.87596501557125928</c:v>
                </c:pt>
                <c:pt idx="8">
                  <c:v>0.86871120973613958</c:v>
                </c:pt>
                <c:pt idx="9">
                  <c:v>0.86092496840351351</c:v>
                </c:pt>
                <c:pt idx="10">
                  <c:v>0.84420397626141075</c:v>
                </c:pt>
                <c:pt idx="11">
                  <c:v>0.85172699587833334</c:v>
                </c:pt>
                <c:pt idx="12">
                  <c:v>0.85793532631740033</c:v>
                </c:pt>
              </c:numCache>
            </c:numRef>
          </c:val>
          <c:smooth val="0"/>
          <c:extLst>
            <c:ext xmlns:c16="http://schemas.microsoft.com/office/drawing/2014/chart" uri="{C3380CC4-5D6E-409C-BE32-E72D297353CC}">
              <c16:uniqueId val="{00000001-E34C-4F7F-AD58-E0FD6D5E6F59}"/>
            </c:ext>
          </c:extLst>
        </c:ser>
        <c:ser>
          <c:idx val="3"/>
          <c:order val="2"/>
          <c:tx>
            <c:v>19/20</c:v>
          </c:tx>
          <c:spPr>
            <a:ln w="25400">
              <a:solidFill>
                <a:srgbClr val="F79131"/>
              </a:solidFill>
              <a:prstDash val="sysDot"/>
            </a:ln>
          </c:spPr>
          <c:marker>
            <c:symbol val="none"/>
          </c:marker>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Summary!$D$62:$P$62</c:f>
              <c:numCache>
                <c:formatCode>0.0%</c:formatCode>
                <c:ptCount val="13"/>
                <c:pt idx="0">
                  <c:v>0.94888026894233257</c:v>
                </c:pt>
                <c:pt idx="1">
                  <c:v>0.94930784695220127</c:v>
                </c:pt>
                <c:pt idx="2">
                  <c:v>0.94160427020062576</c:v>
                </c:pt>
                <c:pt idx="3">
                  <c:v>0.89356762986475669</c:v>
                </c:pt>
                <c:pt idx="4">
                  <c:v>0.94167223037579306</c:v>
                </c:pt>
                <c:pt idx="5">
                  <c:v>0.95106855192815454</c:v>
                </c:pt>
                <c:pt idx="6">
                  <c:v>0.94967036547827555</c:v>
                </c:pt>
                <c:pt idx="7">
                  <c:v>0.94301021970171883</c:v>
                </c:pt>
                <c:pt idx="8">
                  <c:v>0.94817681844545032</c:v>
                </c:pt>
                <c:pt idx="9">
                  <c:v>0.94163650776734609</c:v>
                </c:pt>
                <c:pt idx="10">
                  <c:v>0.94020475284699301</c:v>
                </c:pt>
                <c:pt idx="11">
                  <c:v>0.93727685484389334</c:v>
                </c:pt>
                <c:pt idx="12">
                  <c:v>0.9394634758528988</c:v>
                </c:pt>
              </c:numCache>
            </c:numRef>
          </c:val>
          <c:smooth val="0"/>
          <c:extLst>
            <c:ext xmlns:c16="http://schemas.microsoft.com/office/drawing/2014/chart" uri="{C3380CC4-5D6E-409C-BE32-E72D297353CC}">
              <c16:uniqueId val="{00000002-E34C-4F7F-AD58-E0FD6D5E6F59}"/>
            </c:ext>
          </c:extLst>
        </c:ser>
        <c:dLbls>
          <c:showLegendKey val="0"/>
          <c:showVal val="0"/>
          <c:showCatName val="0"/>
          <c:showSerName val="0"/>
          <c:showPercent val="0"/>
          <c:showBubbleSize val="0"/>
        </c:dLbls>
        <c:marker val="1"/>
        <c:smooth val="0"/>
        <c:axId val="219400832"/>
        <c:axId val="219951872"/>
      </c:lineChart>
      <c:catAx>
        <c:axId val="21940083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19951872"/>
        <c:crosses val="autoZero"/>
        <c:auto val="1"/>
        <c:lblAlgn val="ctr"/>
        <c:lblOffset val="100"/>
        <c:noMultiLvlLbl val="0"/>
      </c:catAx>
      <c:valAx>
        <c:axId val="21995187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19400832"/>
        <c:crosses val="autoZero"/>
        <c:crossBetween val="between"/>
        <c:majorUnit val="0.1"/>
      </c:valAx>
    </c:plotArea>
    <c:legend>
      <c:legendPos val="r"/>
      <c:layout>
        <c:manualLayout>
          <c:xMode val="edge"/>
          <c:yMode val="edge"/>
          <c:x val="0.43079391815914775"/>
          <c:y val="0"/>
          <c:w val="0.56832186472582402"/>
          <c:h val="0.1201611283256758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900"/>
            </a:pPr>
            <a:r>
              <a:rPr lang="en-GB" sz="900" b="1" baseline="0">
                <a:latin typeface="+mn-lt"/>
              </a:rPr>
              <a:t>% remaining in hospital </a:t>
            </a:r>
          </a:p>
        </c:rich>
      </c:tx>
      <c:layout>
        <c:manualLayout>
          <c:xMode val="edge"/>
          <c:yMode val="edge"/>
          <c:x val="0.12219789818479597"/>
          <c:y val="4.2463075722614138E-2"/>
        </c:manualLayout>
      </c:layout>
      <c:overlay val="1"/>
    </c:title>
    <c:autoTitleDeleted val="0"/>
    <c:plotArea>
      <c:layout>
        <c:manualLayout>
          <c:layoutTarget val="inner"/>
          <c:xMode val="edge"/>
          <c:yMode val="edge"/>
          <c:x val="0.10372927287362491"/>
          <c:y val="8.4642085539047535E-2"/>
          <c:w val="0.90911089238845144"/>
          <c:h val="0.74377762365196576"/>
        </c:manualLayout>
      </c:layout>
      <c:barChart>
        <c:barDir val="col"/>
        <c:grouping val="clustered"/>
        <c:varyColors val="0"/>
        <c:ser>
          <c:idx val="1"/>
          <c:order val="0"/>
          <c:tx>
            <c:strRef>
              <c:f>Summary!$C$198</c:f>
              <c:strCache>
                <c:ptCount val="1"/>
                <c:pt idx="0">
                  <c:v>21/22</c:v>
                </c:pt>
              </c:strCache>
            </c:strRef>
          </c:tx>
          <c:spPr>
            <a:solidFill>
              <a:srgbClr val="00A89C"/>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Summary!$D$330:$P$330</c:f>
              <c:numCache>
                <c:formatCode>0.0%</c:formatCode>
                <c:ptCount val="13"/>
                <c:pt idx="0">
                  <c:v>0.5488977204559089</c:v>
                </c:pt>
                <c:pt idx="1">
                  <c:v>0.54545117904965046</c:v>
                </c:pt>
                <c:pt idx="2">
                  <c:v>0.54591476250482562</c:v>
                </c:pt>
                <c:pt idx="3">
                  <c:v>0.51533139165274477</c:v>
                </c:pt>
                <c:pt idx="4">
                  <c:v>0.5835628939852292</c:v>
                </c:pt>
                <c:pt idx="5">
                  <c:v>0.60665232743369324</c:v>
                </c:pt>
                <c:pt idx="6">
                  <c:v>0.59459991581462923</c:v>
                </c:pt>
                <c:pt idx="7">
                  <c:v>0.59359327611156254</c:v>
                </c:pt>
                <c:pt idx="8">
                  <c:v>0.5783117932148627</c:v>
                </c:pt>
                <c:pt idx="9">
                  <c:v>0.57322388493389509</c:v>
                </c:pt>
                <c:pt idx="10">
                  <c:v>0.56405387882556857</c:v>
                </c:pt>
                <c:pt idx="11">
                  <c:v>0.56581948182696062</c:v>
                </c:pt>
                <c:pt idx="12">
                  <c:v>0.55684997229467648</c:v>
                </c:pt>
              </c:numCache>
            </c:numRef>
          </c:val>
          <c:extLst>
            <c:ext xmlns:c16="http://schemas.microsoft.com/office/drawing/2014/chart" uri="{C3380CC4-5D6E-409C-BE32-E72D297353CC}">
              <c16:uniqueId val="{00000000-2C38-4089-BB34-4137E2B19D69}"/>
            </c:ext>
          </c:extLst>
        </c:ser>
        <c:dLbls>
          <c:showLegendKey val="0"/>
          <c:showVal val="0"/>
          <c:showCatName val="0"/>
          <c:showSerName val="0"/>
          <c:showPercent val="0"/>
          <c:showBubbleSize val="0"/>
        </c:dLbls>
        <c:gapWidth val="50"/>
        <c:axId val="561923968"/>
        <c:axId val="561932160"/>
      </c:barChart>
      <c:catAx>
        <c:axId val="56192396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1932160"/>
        <c:crosses val="autoZero"/>
        <c:auto val="1"/>
        <c:lblAlgn val="ctr"/>
        <c:lblOffset val="100"/>
        <c:noMultiLvlLbl val="0"/>
      </c:catAx>
      <c:valAx>
        <c:axId val="561932160"/>
        <c:scaling>
          <c:orientation val="minMax"/>
          <c:max val="1"/>
          <c:min val="0.4"/>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1923968"/>
        <c:crosses val="autoZero"/>
        <c:crossBetween val="between"/>
        <c:majorUnit val="0.1"/>
      </c:valAx>
    </c:plotArea>
    <c:legend>
      <c:legendPos val="r"/>
      <c:layout>
        <c:manualLayout>
          <c:xMode val="edge"/>
          <c:yMode val="edge"/>
          <c:x val="0.59877084755015697"/>
          <c:y val="1.3196984399492418E-3"/>
          <c:w val="0.40122915244984303"/>
          <c:h val="0.150441327606390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Summary!$C$341</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Summary!$D$341:$P$341</c:f>
              <c:numCache>
                <c:formatCode>#,##0</c:formatCode>
                <c:ptCount val="13"/>
                <c:pt idx="0">
                  <c:v>19051.428571428572</c:v>
                </c:pt>
                <c:pt idx="1">
                  <c:v>19289.142857142859</c:v>
                </c:pt>
                <c:pt idx="2">
                  <c:v>19612.428571428572</c:v>
                </c:pt>
                <c:pt idx="3">
                  <c:v>19325.428571428572</c:v>
                </c:pt>
                <c:pt idx="4">
                  <c:v>16906</c:v>
                </c:pt>
                <c:pt idx="5">
                  <c:v>19460.428571428572</c:v>
                </c:pt>
                <c:pt idx="6">
                  <c:v>21042</c:v>
                </c:pt>
                <c:pt idx="7">
                  <c:v>21620.142857142859</c:v>
                </c:pt>
                <c:pt idx="8">
                  <c:v>21222.857142857141</c:v>
                </c:pt>
                <c:pt idx="9">
                  <c:v>21632.285714285714</c:v>
                </c:pt>
                <c:pt idx="10">
                  <c:v>21593.428571428572</c:v>
                </c:pt>
                <c:pt idx="11">
                  <c:v>20859</c:v>
                </c:pt>
                <c:pt idx="12">
                  <c:v>21140.857142857141</c:v>
                </c:pt>
              </c:numCache>
            </c:numRef>
          </c:val>
          <c:extLst>
            <c:ext xmlns:c16="http://schemas.microsoft.com/office/drawing/2014/chart" uri="{C3380CC4-5D6E-409C-BE32-E72D297353CC}">
              <c16:uniqueId val="{00000000-D190-4D0F-BE0B-211C7EB4F8ED}"/>
            </c:ext>
          </c:extLst>
        </c:ser>
        <c:dLbls>
          <c:showLegendKey val="0"/>
          <c:showVal val="0"/>
          <c:showCatName val="0"/>
          <c:showSerName val="0"/>
          <c:showPercent val="0"/>
          <c:showBubbleSize val="0"/>
        </c:dLbls>
        <c:gapWidth val="50"/>
        <c:axId val="562204672"/>
        <c:axId val="562207744"/>
      </c:barChart>
      <c:catAx>
        <c:axId val="5622046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max val="25000"/>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70414095566986457"/>
          <c:y val="9.553811081287656E-3"/>
          <c:w val="0.28816825898242421"/>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Summary!$C$352</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Summary!$D$352:$P$352</c:f>
              <c:numCache>
                <c:formatCode>#,##0</c:formatCode>
                <c:ptCount val="13"/>
                <c:pt idx="0">
                  <c:v>10457.285714285714</c:v>
                </c:pt>
                <c:pt idx="1">
                  <c:v>10521.285714285714</c:v>
                </c:pt>
                <c:pt idx="2">
                  <c:v>10706.714285714286</c:v>
                </c:pt>
                <c:pt idx="3">
                  <c:v>9959</c:v>
                </c:pt>
                <c:pt idx="4">
                  <c:v>9865.7142857142862</c:v>
                </c:pt>
                <c:pt idx="5">
                  <c:v>11805.714285714286</c:v>
                </c:pt>
                <c:pt idx="6">
                  <c:v>12511.571428571429</c:v>
                </c:pt>
                <c:pt idx="7">
                  <c:v>12833.571428571429</c:v>
                </c:pt>
                <c:pt idx="8">
                  <c:v>12273.428571428571</c:v>
                </c:pt>
                <c:pt idx="9">
                  <c:v>12400.142857142857</c:v>
                </c:pt>
                <c:pt idx="10">
                  <c:v>12179.857142857143</c:v>
                </c:pt>
                <c:pt idx="11">
                  <c:v>11802.428571428571</c:v>
                </c:pt>
                <c:pt idx="12">
                  <c:v>11772.285714285714</c:v>
                </c:pt>
              </c:numCache>
            </c:numRef>
          </c:val>
          <c:extLst>
            <c:ext xmlns:c16="http://schemas.microsoft.com/office/drawing/2014/chart" uri="{C3380CC4-5D6E-409C-BE32-E72D297353CC}">
              <c16:uniqueId val="{00000000-A421-4C65-98E5-765D271FD449}"/>
            </c:ext>
          </c:extLst>
        </c:ser>
        <c:dLbls>
          <c:showLegendKey val="0"/>
          <c:showVal val="0"/>
          <c:showCatName val="0"/>
          <c:showSerName val="0"/>
          <c:showPercent val="0"/>
          <c:showBubbleSize val="0"/>
        </c:dLbls>
        <c:gapWidth val="50"/>
        <c:axId val="562204672"/>
        <c:axId val="562207744"/>
      </c:barChart>
      <c:catAx>
        <c:axId val="5622046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max val="25000"/>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70414095566986457"/>
          <c:y val="9.553811081287656E-3"/>
          <c:w val="0.28816825898242421"/>
          <c:h val="0.12522418605333518"/>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21/22</c:v>
                </c:pt>
              </c:strCache>
            </c:strRef>
          </c:tx>
          <c:spPr>
            <a:ln w="19050"/>
          </c:spPr>
          <c:invertIfNegative val="0"/>
          <c:val>
            <c:numRef>
              <c:f>Summary!$D$8:$Q$8</c:f>
              <c:numCache>
                <c:formatCode>General</c:formatCode>
                <c:ptCount val="14"/>
                <c:pt idx="0">
                  <c:v>25</c:v>
                </c:pt>
                <c:pt idx="1">
                  <c:v>28</c:v>
                </c:pt>
                <c:pt idx="2">
                  <c:v>13</c:v>
                </c:pt>
                <c:pt idx="3">
                  <c:v>15</c:v>
                </c:pt>
                <c:pt idx="4">
                  <c:v>21</c:v>
                </c:pt>
                <c:pt idx="5">
                  <c:v>23</c:v>
                </c:pt>
                <c:pt idx="6">
                  <c:v>25</c:v>
                </c:pt>
                <c:pt idx="7">
                  <c:v>28</c:v>
                </c:pt>
                <c:pt idx="8">
                  <c:v>23</c:v>
                </c:pt>
                <c:pt idx="9">
                  <c:v>13</c:v>
                </c:pt>
                <c:pt idx="10">
                  <c:v>23</c:v>
                </c:pt>
                <c:pt idx="11">
                  <c:v>32</c:v>
                </c:pt>
                <c:pt idx="12">
                  <c:v>22</c:v>
                </c:pt>
              </c:numCache>
            </c:numRef>
          </c:val>
          <c:extLst>
            <c:ext xmlns:c16="http://schemas.microsoft.com/office/drawing/2014/chart" uri="{C3380CC4-5D6E-409C-BE32-E72D297353CC}">
              <c16:uniqueId val="{00000000-3648-4786-9335-5B8102D4B545}"/>
            </c:ext>
          </c:extLst>
        </c:ser>
        <c:dLbls>
          <c:showLegendKey val="0"/>
          <c:showVal val="0"/>
          <c:showCatName val="0"/>
          <c:showSerName val="0"/>
          <c:showPercent val="0"/>
          <c:showBubbleSize val="0"/>
        </c:dLbls>
        <c:gapWidth val="50"/>
        <c:axId val="566597120"/>
        <c:axId val="566603136"/>
      </c:barChart>
      <c:lineChart>
        <c:grouping val="standard"/>
        <c:varyColors val="0"/>
        <c:ser>
          <c:idx val="0"/>
          <c:order val="0"/>
          <c:tx>
            <c:strRef>
              <c:f>Summary!$C$6</c:f>
              <c:strCache>
                <c:ptCount val="1"/>
                <c:pt idx="0">
                  <c:v>20/21</c:v>
                </c:pt>
              </c:strCache>
            </c:strRef>
          </c:tx>
          <c:spPr>
            <a:ln w="28575">
              <a:solidFill>
                <a:srgbClr val="F0532D"/>
              </a:solidFill>
              <a:prstDash val="sysDot"/>
            </a:ln>
          </c:spPr>
          <c:marker>
            <c:symbol val="none"/>
          </c:marker>
          <c:val>
            <c:numRef>
              <c:f>Summary!$D$6:$P$6</c:f>
              <c:numCache>
                <c:formatCode>General</c:formatCode>
                <c:ptCount val="13"/>
                <c:pt idx="0">
                  <c:v>18</c:v>
                </c:pt>
                <c:pt idx="1">
                  <c:v>44</c:v>
                </c:pt>
                <c:pt idx="2">
                  <c:v>26</c:v>
                </c:pt>
                <c:pt idx="3">
                  <c:v>22</c:v>
                </c:pt>
                <c:pt idx="4">
                  <c:v>20</c:v>
                </c:pt>
                <c:pt idx="5">
                  <c:v>25</c:v>
                </c:pt>
                <c:pt idx="6">
                  <c:v>15</c:v>
                </c:pt>
                <c:pt idx="7">
                  <c:v>24</c:v>
                </c:pt>
                <c:pt idx="8">
                  <c:v>14</c:v>
                </c:pt>
                <c:pt idx="9">
                  <c:v>13</c:v>
                </c:pt>
                <c:pt idx="10">
                  <c:v>18</c:v>
                </c:pt>
                <c:pt idx="11">
                  <c:v>22</c:v>
                </c:pt>
                <c:pt idx="12">
                  <c:v>17</c:v>
                </c:pt>
              </c:numCache>
            </c:numRef>
          </c:val>
          <c:smooth val="0"/>
          <c:extLst>
            <c:ext xmlns:c16="http://schemas.microsoft.com/office/drawing/2014/chart" uri="{C3380CC4-5D6E-409C-BE32-E72D297353CC}">
              <c16:uniqueId val="{00000001-3648-4786-9335-5B8102D4B545}"/>
            </c:ext>
          </c:extLst>
        </c:ser>
        <c:dLbls>
          <c:showLegendKey val="0"/>
          <c:showVal val="0"/>
          <c:showCatName val="0"/>
          <c:showSerName val="0"/>
          <c:showPercent val="0"/>
          <c:showBubbleSize val="0"/>
        </c:dLbls>
        <c:marker val="1"/>
        <c:smooth val="0"/>
        <c:axId val="566597120"/>
        <c:axId val="566603136"/>
      </c:lineChart>
      <c:catAx>
        <c:axId val="56659712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566603136"/>
        <c:crosses val="autoZero"/>
        <c:auto val="1"/>
        <c:lblAlgn val="ctr"/>
        <c:lblOffset val="100"/>
        <c:noMultiLvlLbl val="0"/>
      </c:catAx>
      <c:valAx>
        <c:axId val="566603136"/>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566597120"/>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Summary!$C$83</c:f>
              <c:strCache>
                <c:ptCount val="1"/>
                <c:pt idx="0">
                  <c:v>21/22</c:v>
                </c:pt>
              </c:strCache>
            </c:strRef>
          </c:tx>
          <c:spPr>
            <a:solidFill>
              <a:srgbClr val="00A89C"/>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Summary!$D$83:$P$83</c:f>
              <c:numCache>
                <c:formatCode>#,##0</c:formatCode>
                <c:ptCount val="13"/>
                <c:pt idx="0">
                  <c:v>41750.285714285717</c:v>
                </c:pt>
                <c:pt idx="1">
                  <c:v>42546.142857142855</c:v>
                </c:pt>
                <c:pt idx="2">
                  <c:v>42989.571428571428</c:v>
                </c:pt>
                <c:pt idx="3">
                  <c:v>39477.714285714283</c:v>
                </c:pt>
                <c:pt idx="4">
                  <c:v>40488.857142857145</c:v>
                </c:pt>
                <c:pt idx="5">
                  <c:v>44930.142857142855</c:v>
                </c:pt>
                <c:pt idx="6">
                  <c:v>44581.142857142855</c:v>
                </c:pt>
                <c:pt idx="7">
                  <c:v>44285.714285714283</c:v>
                </c:pt>
                <c:pt idx="8">
                  <c:v>44077.285714285717</c:v>
                </c:pt>
                <c:pt idx="9">
                  <c:v>44295.142857142855</c:v>
                </c:pt>
                <c:pt idx="10">
                  <c:v>44003.428571428572</c:v>
                </c:pt>
                <c:pt idx="11">
                  <c:v>43949.571428571428</c:v>
                </c:pt>
                <c:pt idx="12">
                  <c:v>44372.285714285717</c:v>
                </c:pt>
              </c:numCache>
            </c:numRef>
          </c:val>
          <c:extLst>
            <c:ext xmlns:c16="http://schemas.microsoft.com/office/drawing/2014/chart" uri="{C3380CC4-5D6E-409C-BE32-E72D297353CC}">
              <c16:uniqueId val="{00000000-F593-4034-89BD-0D7350798262}"/>
            </c:ext>
          </c:extLst>
        </c:ser>
        <c:dLbls>
          <c:showLegendKey val="0"/>
          <c:showVal val="0"/>
          <c:showCatName val="0"/>
          <c:showSerName val="0"/>
          <c:showPercent val="0"/>
          <c:showBubbleSize val="0"/>
        </c:dLbls>
        <c:gapWidth val="50"/>
        <c:axId val="333572352"/>
        <c:axId val="333584640"/>
      </c:barChart>
      <c:lineChart>
        <c:grouping val="standard"/>
        <c:varyColors val="0"/>
        <c:ser>
          <c:idx val="0"/>
          <c:order val="1"/>
          <c:tx>
            <c:strRef>
              <c:f>Summary!$C$81</c:f>
              <c:strCache>
                <c:ptCount val="1"/>
                <c:pt idx="0">
                  <c:v>20/21</c:v>
                </c:pt>
              </c:strCache>
            </c:strRef>
          </c:tx>
          <c:spPr>
            <a:ln w="25400">
              <a:solidFill>
                <a:srgbClr val="C00848"/>
              </a:solidFill>
              <a:prstDash val="dash"/>
            </a:ln>
          </c:spPr>
          <c:marker>
            <c:symbol val="none"/>
          </c:marker>
          <c:val>
            <c:numRef>
              <c:f>Summary!$D$81:$P$81</c:f>
              <c:numCache>
                <c:formatCode>#,##0</c:formatCode>
                <c:ptCount val="13"/>
                <c:pt idx="0">
                  <c:v>34728.142857142855</c:v>
                </c:pt>
                <c:pt idx="1">
                  <c:v>35472.714285714283</c:v>
                </c:pt>
                <c:pt idx="2">
                  <c:v>36472.571428571428</c:v>
                </c:pt>
                <c:pt idx="3">
                  <c:v>34907.428571428572</c:v>
                </c:pt>
                <c:pt idx="4">
                  <c:v>36063.571428571428</c:v>
                </c:pt>
                <c:pt idx="5">
                  <c:v>37844.285714285717</c:v>
                </c:pt>
                <c:pt idx="6">
                  <c:v>37004.428571428572</c:v>
                </c:pt>
                <c:pt idx="7">
                  <c:v>36503.571428571428</c:v>
                </c:pt>
                <c:pt idx="8">
                  <c:v>36763.285714285717</c:v>
                </c:pt>
                <c:pt idx="9">
                  <c:v>36596.714285714283</c:v>
                </c:pt>
                <c:pt idx="10">
                  <c:v>35704.857142857145</c:v>
                </c:pt>
                <c:pt idx="11">
                  <c:v>34989.285714285717</c:v>
                </c:pt>
                <c:pt idx="12">
                  <c:v>35430.285714285717</c:v>
                </c:pt>
              </c:numCache>
            </c:numRef>
          </c:val>
          <c:smooth val="0"/>
          <c:extLst>
            <c:ext xmlns:c16="http://schemas.microsoft.com/office/drawing/2014/chart" uri="{C3380CC4-5D6E-409C-BE32-E72D297353CC}">
              <c16:uniqueId val="{00000001-F593-4034-89BD-0D7350798262}"/>
            </c:ext>
          </c:extLst>
        </c:ser>
        <c:ser>
          <c:idx val="2"/>
          <c:order val="2"/>
          <c:tx>
            <c:v>19/20</c:v>
          </c:tx>
          <c:spPr>
            <a:ln w="25400">
              <a:solidFill>
                <a:srgbClr val="F79131"/>
              </a:solidFill>
              <a:prstDash val="sysDot"/>
            </a:ln>
          </c:spPr>
          <c:marker>
            <c:symbol val="none"/>
          </c:marker>
          <c:val>
            <c:numRef>
              <c:f>Summary!$D$80:$P$80</c:f>
              <c:numCache>
                <c:formatCode>General</c:formatCode>
                <c:ptCount val="13"/>
                <c:pt idx="0">
                  <c:v>42353.857142857145</c:v>
                </c:pt>
                <c:pt idx="1">
                  <c:v>42015</c:v>
                </c:pt>
                <c:pt idx="2">
                  <c:v>41386.571428571428</c:v>
                </c:pt>
                <c:pt idx="3">
                  <c:v>40775.571428571428</c:v>
                </c:pt>
                <c:pt idx="4">
                  <c:v>44293.857142857145</c:v>
                </c:pt>
                <c:pt idx="5">
                  <c:v>44755.714285714283</c:v>
                </c:pt>
                <c:pt idx="6">
                  <c:v>44463.285714285717</c:v>
                </c:pt>
                <c:pt idx="7">
                  <c:v>44319</c:v>
                </c:pt>
                <c:pt idx="8">
                  <c:v>43811.857142857145</c:v>
                </c:pt>
                <c:pt idx="9">
                  <c:v>43662.714285714283</c:v>
                </c:pt>
                <c:pt idx="10">
                  <c:v>43538</c:v>
                </c:pt>
                <c:pt idx="11">
                  <c:v>43416.714285714283</c:v>
                </c:pt>
                <c:pt idx="12">
                  <c:v>43146.571428571428</c:v>
                </c:pt>
              </c:numCache>
            </c:numRef>
          </c:val>
          <c:smooth val="0"/>
          <c:extLst>
            <c:ext xmlns:c16="http://schemas.microsoft.com/office/drawing/2014/chart" uri="{C3380CC4-5D6E-409C-BE32-E72D297353CC}">
              <c16:uniqueId val="{00000002-F593-4034-89BD-0D7350798262}"/>
            </c:ext>
          </c:extLst>
        </c:ser>
        <c:dLbls>
          <c:showLegendKey val="0"/>
          <c:showVal val="0"/>
          <c:showCatName val="0"/>
          <c:showSerName val="0"/>
          <c:showPercent val="0"/>
          <c:showBubbleSize val="0"/>
        </c:dLbls>
        <c:marker val="1"/>
        <c:smooth val="0"/>
        <c:axId val="333572352"/>
        <c:axId val="333584640"/>
      </c:lineChart>
      <c:catAx>
        <c:axId val="333572352"/>
        <c:scaling>
          <c:orientation val="minMax"/>
        </c:scaling>
        <c:delete val="0"/>
        <c:axPos val="b"/>
        <c:numFmt formatCode="General" sourceLinked="1"/>
        <c:majorTickMark val="out"/>
        <c:minorTickMark val="none"/>
        <c:tickLblPos val="nextTo"/>
        <c:spPr>
          <a:ln w="15875">
            <a:solidFill>
              <a:schemeClr val="bg2"/>
            </a:solidFill>
          </a:ln>
        </c:spPr>
        <c:txPr>
          <a:bodyPr/>
          <a:lstStyle/>
          <a:p>
            <a:pPr>
              <a:defRPr sz="800" b="1"/>
            </a:pPr>
            <a:endParaRPr lang="en-US"/>
          </a:p>
        </c:txPr>
        <c:crossAx val="333584640"/>
        <c:crosses val="autoZero"/>
        <c:auto val="1"/>
        <c:lblAlgn val="ctr"/>
        <c:lblOffset val="100"/>
        <c:noMultiLvlLbl val="0"/>
      </c:catAx>
      <c:valAx>
        <c:axId val="333584640"/>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333572352"/>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egendEntry>
        <c:idx val="2"/>
        <c:txPr>
          <a:bodyPr/>
          <a:lstStyle/>
          <a:p>
            <a:pPr>
              <a:defRPr sz="700"/>
            </a:pPr>
            <a:endParaRPr lang="en-US"/>
          </a:p>
        </c:txPr>
      </c:legendEntry>
      <c:layout>
        <c:manualLayout>
          <c:xMode val="edge"/>
          <c:yMode val="edge"/>
          <c:x val="0.51490311927192722"/>
          <c:y val="6.6068485625342911E-3"/>
          <c:w val="0.48509688072807272"/>
          <c:h val="0.11692170554152428"/>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76432277844732"/>
          <c:y val="0.14528048841780036"/>
          <c:w val="0.8622711111111111"/>
          <c:h val="0.652039669537952"/>
        </c:manualLayout>
      </c:layout>
      <c:barChart>
        <c:barDir val="col"/>
        <c:grouping val="clustered"/>
        <c:varyColors val="0"/>
        <c:ser>
          <c:idx val="1"/>
          <c:order val="0"/>
          <c:tx>
            <c:strRef>
              <c:f>Summary!$C$106</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Summary!$D$106:$P$106</c:f>
              <c:numCache>
                <c:formatCode>#,##0</c:formatCode>
                <c:ptCount val="13"/>
                <c:pt idx="0">
                  <c:v>14957.714285714286</c:v>
                </c:pt>
                <c:pt idx="1">
                  <c:v>15111.142857142857</c:v>
                </c:pt>
                <c:pt idx="2">
                  <c:v>15140.142857142857</c:v>
                </c:pt>
                <c:pt idx="3">
                  <c:v>14418.285714285714</c:v>
                </c:pt>
                <c:pt idx="4">
                  <c:v>15202.428571428571</c:v>
                </c:pt>
                <c:pt idx="5">
                  <c:v>16910.857142857141</c:v>
                </c:pt>
                <c:pt idx="6">
                  <c:v>17541.285714285714</c:v>
                </c:pt>
                <c:pt idx="7">
                  <c:v>17719.428571428572</c:v>
                </c:pt>
                <c:pt idx="8">
                  <c:v>17357.428571428572</c:v>
                </c:pt>
                <c:pt idx="9">
                  <c:v>17220</c:v>
                </c:pt>
                <c:pt idx="10">
                  <c:v>16888.428571428572</c:v>
                </c:pt>
                <c:pt idx="11">
                  <c:v>16840</c:v>
                </c:pt>
                <c:pt idx="12">
                  <c:v>16971.714285714286</c:v>
                </c:pt>
              </c:numCache>
            </c:numRef>
          </c:val>
          <c:extLst>
            <c:ext xmlns:c16="http://schemas.microsoft.com/office/drawing/2014/chart" uri="{C3380CC4-5D6E-409C-BE32-E72D297353CC}">
              <c16:uniqueId val="{00000000-3D40-4E92-A250-F151C7313C06}"/>
            </c:ext>
          </c:extLst>
        </c:ser>
        <c:dLbls>
          <c:showLegendKey val="0"/>
          <c:showVal val="0"/>
          <c:showCatName val="0"/>
          <c:showSerName val="0"/>
          <c:showPercent val="0"/>
          <c:showBubbleSize val="0"/>
        </c:dLbls>
        <c:gapWidth val="50"/>
        <c:axId val="411742976"/>
        <c:axId val="411745280"/>
      </c:barChart>
      <c:lineChart>
        <c:grouping val="standard"/>
        <c:varyColors val="0"/>
        <c:ser>
          <c:idx val="0"/>
          <c:order val="1"/>
          <c:tx>
            <c:strRef>
              <c:f>Summary!$C$104</c:f>
              <c:strCache>
                <c:ptCount val="1"/>
                <c:pt idx="0">
                  <c:v>20/21</c:v>
                </c:pt>
              </c:strCache>
            </c:strRef>
          </c:tx>
          <c:spPr>
            <a:ln w="25400">
              <a:solidFill>
                <a:srgbClr val="C00848"/>
              </a:solidFill>
              <a:prstDash val="dash"/>
            </a:ln>
          </c:spPr>
          <c:marker>
            <c:symbol val="none"/>
          </c:marker>
          <c:val>
            <c:numRef>
              <c:f>Summary!$D$104:$P$104</c:f>
              <c:numCache>
                <c:formatCode>#,##0</c:formatCode>
                <c:ptCount val="13"/>
                <c:pt idx="0">
                  <c:v>11336</c:v>
                </c:pt>
                <c:pt idx="1">
                  <c:v>11411.142857142857</c:v>
                </c:pt>
                <c:pt idx="2">
                  <c:v>11401.142857142857</c:v>
                </c:pt>
                <c:pt idx="3">
                  <c:v>11233.285714285714</c:v>
                </c:pt>
                <c:pt idx="4">
                  <c:v>11928.142857142857</c:v>
                </c:pt>
                <c:pt idx="5">
                  <c:v>12541</c:v>
                </c:pt>
                <c:pt idx="6">
                  <c:v>11895.571428571429</c:v>
                </c:pt>
                <c:pt idx="7">
                  <c:v>11374</c:v>
                </c:pt>
                <c:pt idx="8">
                  <c:v>11252.428571428571</c:v>
                </c:pt>
                <c:pt idx="9">
                  <c:v>11406.285714285714</c:v>
                </c:pt>
                <c:pt idx="10">
                  <c:v>11559</c:v>
                </c:pt>
                <c:pt idx="11">
                  <c:v>11585.285714285714</c:v>
                </c:pt>
                <c:pt idx="12">
                  <c:v>11560.428571428571</c:v>
                </c:pt>
              </c:numCache>
            </c:numRef>
          </c:val>
          <c:smooth val="0"/>
          <c:extLst>
            <c:ext xmlns:c16="http://schemas.microsoft.com/office/drawing/2014/chart" uri="{C3380CC4-5D6E-409C-BE32-E72D297353CC}">
              <c16:uniqueId val="{00000001-3D40-4E92-A250-F151C7313C06}"/>
            </c:ext>
          </c:extLst>
        </c:ser>
        <c:ser>
          <c:idx val="2"/>
          <c:order val="2"/>
          <c:tx>
            <c:v>19/20</c:v>
          </c:tx>
          <c:spPr>
            <a:ln w="25400">
              <a:solidFill>
                <a:srgbClr val="F79131"/>
              </a:solidFill>
              <a:prstDash val="sysDot"/>
            </a:ln>
          </c:spPr>
          <c:marker>
            <c:symbol val="none"/>
          </c:marker>
          <c:val>
            <c:numRef>
              <c:f>Summary!$D$103:$P$103</c:f>
              <c:numCache>
                <c:formatCode>#,##0</c:formatCode>
                <c:ptCount val="13"/>
                <c:pt idx="0">
                  <c:v>15383.714285714286</c:v>
                </c:pt>
                <c:pt idx="1">
                  <c:v>15362</c:v>
                </c:pt>
                <c:pt idx="2">
                  <c:v>15044.857142857143</c:v>
                </c:pt>
                <c:pt idx="3">
                  <c:v>14660.571428571429</c:v>
                </c:pt>
                <c:pt idx="4">
                  <c:v>16412.857142857141</c:v>
                </c:pt>
                <c:pt idx="5">
                  <c:v>17087</c:v>
                </c:pt>
                <c:pt idx="6">
                  <c:v>16828.142857142859</c:v>
                </c:pt>
                <c:pt idx="7">
                  <c:v>16632.428571428572</c:v>
                </c:pt>
                <c:pt idx="8">
                  <c:v>16630.857142857141</c:v>
                </c:pt>
                <c:pt idx="9">
                  <c:v>16398.714285714286</c:v>
                </c:pt>
                <c:pt idx="10">
                  <c:v>16455.142857142859</c:v>
                </c:pt>
                <c:pt idx="11">
                  <c:v>16353.285714285714</c:v>
                </c:pt>
                <c:pt idx="12">
                  <c:v>16204.714285714286</c:v>
                </c:pt>
              </c:numCache>
            </c:numRef>
          </c:val>
          <c:smooth val="0"/>
          <c:extLst>
            <c:ext xmlns:c16="http://schemas.microsoft.com/office/drawing/2014/chart" uri="{C3380CC4-5D6E-409C-BE32-E72D297353CC}">
              <c16:uniqueId val="{00000002-3D40-4E92-A250-F151C7313C06}"/>
            </c:ext>
          </c:extLst>
        </c:ser>
        <c:dLbls>
          <c:showLegendKey val="0"/>
          <c:showVal val="0"/>
          <c:showCatName val="0"/>
          <c:showSerName val="0"/>
          <c:showPercent val="0"/>
          <c:showBubbleSize val="0"/>
        </c:dLbls>
        <c:marker val="1"/>
        <c:smooth val="0"/>
        <c:axId val="411742976"/>
        <c:axId val="411745280"/>
      </c:lineChart>
      <c:catAx>
        <c:axId val="41174297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11745280"/>
        <c:crosses val="autoZero"/>
        <c:auto val="1"/>
        <c:lblAlgn val="ctr"/>
        <c:lblOffset val="100"/>
        <c:noMultiLvlLbl val="0"/>
      </c:catAx>
      <c:valAx>
        <c:axId val="411745280"/>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11742976"/>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egendEntry>
        <c:idx val="2"/>
        <c:txPr>
          <a:bodyPr/>
          <a:lstStyle/>
          <a:p>
            <a:pPr>
              <a:defRPr sz="700"/>
            </a:pPr>
            <a:endParaRPr lang="en-US"/>
          </a:p>
        </c:txPr>
      </c:legendEntry>
      <c:layout>
        <c:manualLayout>
          <c:xMode val="edge"/>
          <c:yMode val="edge"/>
          <c:x val="0.46943695479777953"/>
          <c:y val="3.7497916870570872E-2"/>
          <c:w val="0.50261697065820776"/>
          <c:h val="0.12601479364043502"/>
        </c:manualLayout>
      </c:layout>
      <c:overlay val="0"/>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Summary!$C$118</c:f>
              <c:strCache>
                <c:ptCount val="1"/>
                <c:pt idx="0">
                  <c:v>21/22</c:v>
                </c:pt>
              </c:strCache>
            </c:strRef>
          </c:tx>
          <c:spPr>
            <a:solidFill>
              <a:srgbClr val="00A89C"/>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Summary!$D$118:$P$118</c:f>
              <c:numCache>
                <c:formatCode>#,##0</c:formatCode>
                <c:ptCount val="13"/>
                <c:pt idx="0">
                  <c:v>216.85714285714286</c:v>
                </c:pt>
                <c:pt idx="1">
                  <c:v>271.28571428571428</c:v>
                </c:pt>
                <c:pt idx="2">
                  <c:v>317.85714285714283</c:v>
                </c:pt>
                <c:pt idx="3">
                  <c:v>273</c:v>
                </c:pt>
                <c:pt idx="4">
                  <c:v>282.85714285714283</c:v>
                </c:pt>
                <c:pt idx="5">
                  <c:v>159.57142857142858</c:v>
                </c:pt>
                <c:pt idx="6">
                  <c:v>107</c:v>
                </c:pt>
                <c:pt idx="7">
                  <c:v>241.28571428571428</c:v>
                </c:pt>
                <c:pt idx="8">
                  <c:v>413.14285714285717</c:v>
                </c:pt>
                <c:pt idx="9">
                  <c:v>382.14285714285717</c:v>
                </c:pt>
                <c:pt idx="10">
                  <c:v>226.42857142857142</c:v>
                </c:pt>
                <c:pt idx="11">
                  <c:v>203.14285714285714</c:v>
                </c:pt>
                <c:pt idx="12">
                  <c:v>219.85714285714286</c:v>
                </c:pt>
              </c:numCache>
            </c:numRef>
          </c:val>
          <c:extLst>
            <c:ext xmlns:c16="http://schemas.microsoft.com/office/drawing/2014/chart" uri="{C3380CC4-5D6E-409C-BE32-E72D297353CC}">
              <c16:uniqueId val="{00000000-9037-4505-BD0F-368B2AB4986E}"/>
            </c:ext>
          </c:extLst>
        </c:ser>
        <c:dLbls>
          <c:showLegendKey val="0"/>
          <c:showVal val="0"/>
          <c:showCatName val="0"/>
          <c:showSerName val="0"/>
          <c:showPercent val="0"/>
          <c:showBubbleSize val="0"/>
        </c:dLbls>
        <c:gapWidth val="50"/>
        <c:axId val="411904640"/>
        <c:axId val="419249536"/>
      </c:barChart>
      <c:lineChart>
        <c:grouping val="standard"/>
        <c:varyColors val="0"/>
        <c:ser>
          <c:idx val="0"/>
          <c:order val="0"/>
          <c:tx>
            <c:strRef>
              <c:f>Summary!$C$116</c:f>
              <c:strCache>
                <c:ptCount val="1"/>
                <c:pt idx="0">
                  <c:v>20/21</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Summary!$D$116:$P$116</c:f>
              <c:numCache>
                <c:formatCode>#,##0</c:formatCode>
                <c:ptCount val="13"/>
                <c:pt idx="0">
                  <c:v>58.285714285714285</c:v>
                </c:pt>
                <c:pt idx="1">
                  <c:v>49.857142857142854</c:v>
                </c:pt>
                <c:pt idx="2">
                  <c:v>68</c:v>
                </c:pt>
                <c:pt idx="3">
                  <c:v>45.714285714285715</c:v>
                </c:pt>
                <c:pt idx="4">
                  <c:v>49.714285714285715</c:v>
                </c:pt>
                <c:pt idx="5">
                  <c:v>76.428571428571431</c:v>
                </c:pt>
                <c:pt idx="6">
                  <c:v>21.571428571428573</c:v>
                </c:pt>
                <c:pt idx="7">
                  <c:v>17.428571428571427</c:v>
                </c:pt>
                <c:pt idx="8">
                  <c:v>28.142857142857142</c:v>
                </c:pt>
                <c:pt idx="9">
                  <c:v>35.714285714285715</c:v>
                </c:pt>
                <c:pt idx="10">
                  <c:v>26.714285714285715</c:v>
                </c:pt>
                <c:pt idx="11">
                  <c:v>23.714285714285715</c:v>
                </c:pt>
                <c:pt idx="12">
                  <c:v>26.285714285714285</c:v>
                </c:pt>
              </c:numCache>
            </c:numRef>
          </c:val>
          <c:smooth val="0"/>
          <c:extLst>
            <c:ext xmlns:c16="http://schemas.microsoft.com/office/drawing/2014/chart" uri="{C3380CC4-5D6E-409C-BE32-E72D297353CC}">
              <c16:uniqueId val="{00000001-9037-4505-BD0F-368B2AB4986E}"/>
            </c:ext>
          </c:extLst>
        </c:ser>
        <c:ser>
          <c:idx val="2"/>
          <c:order val="2"/>
          <c:tx>
            <c:v>19/20</c:v>
          </c:tx>
          <c:spPr>
            <a:ln w="25400">
              <a:solidFill>
                <a:srgbClr val="F79131"/>
              </a:solidFill>
              <a:prstDash val="sysDot"/>
            </a:ln>
          </c:spPr>
          <c:marker>
            <c:symbol val="none"/>
          </c:marker>
          <c:val>
            <c:numRef>
              <c:f>Summary!$D$115:$P$115</c:f>
              <c:numCache>
                <c:formatCode>#,##0</c:formatCode>
                <c:ptCount val="13"/>
                <c:pt idx="0">
                  <c:v>1025.7142857142858</c:v>
                </c:pt>
                <c:pt idx="1">
                  <c:v>892.42857142857144</c:v>
                </c:pt>
                <c:pt idx="2">
                  <c:v>799</c:v>
                </c:pt>
                <c:pt idx="3">
                  <c:v>447.85714285714283</c:v>
                </c:pt>
                <c:pt idx="4">
                  <c:v>554.57142857142856</c:v>
                </c:pt>
                <c:pt idx="5">
                  <c:v>804.28571428571433</c:v>
                </c:pt>
                <c:pt idx="6">
                  <c:v>626.71428571428567</c:v>
                </c:pt>
                <c:pt idx="7">
                  <c:v>773.42857142857144</c:v>
                </c:pt>
                <c:pt idx="8">
                  <c:v>775</c:v>
                </c:pt>
                <c:pt idx="9">
                  <c:v>657</c:v>
                </c:pt>
                <c:pt idx="10">
                  <c:v>578.57142857142856</c:v>
                </c:pt>
                <c:pt idx="11">
                  <c:v>507</c:v>
                </c:pt>
                <c:pt idx="12">
                  <c:v>608.14285714285711</c:v>
                </c:pt>
              </c:numCache>
            </c:numRef>
          </c:val>
          <c:smooth val="0"/>
          <c:extLst>
            <c:ext xmlns:c16="http://schemas.microsoft.com/office/drawing/2014/chart" uri="{C3380CC4-5D6E-409C-BE32-E72D297353CC}">
              <c16:uniqueId val="{00000002-9037-4505-BD0F-368B2AB4986E}"/>
            </c:ext>
          </c:extLst>
        </c:ser>
        <c:dLbls>
          <c:showLegendKey val="0"/>
          <c:showVal val="0"/>
          <c:showCatName val="0"/>
          <c:showSerName val="0"/>
          <c:showPercent val="0"/>
          <c:showBubbleSize val="0"/>
        </c:dLbls>
        <c:marker val="1"/>
        <c:smooth val="0"/>
        <c:axId val="411904640"/>
        <c:axId val="419249536"/>
      </c:lineChart>
      <c:catAx>
        <c:axId val="41190464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19249536"/>
        <c:crosses val="autoZero"/>
        <c:auto val="1"/>
        <c:lblAlgn val="ctr"/>
        <c:lblOffset val="100"/>
        <c:noMultiLvlLbl val="0"/>
      </c:catAx>
      <c:valAx>
        <c:axId val="419249536"/>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11904640"/>
        <c:crosses val="autoZero"/>
        <c:crossBetween val="between"/>
      </c:valAx>
    </c:plotArea>
    <c:legend>
      <c:legendPos val="r"/>
      <c:layout>
        <c:manualLayout>
          <c:xMode val="edge"/>
          <c:yMode val="edge"/>
          <c:x val="0.41263573085846866"/>
          <c:y val="2.0904295403165137E-3"/>
          <c:w val="0.58736426914153128"/>
          <c:h val="9.3755850727387735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Summary!$C$134</c:f>
              <c:strCache>
                <c:ptCount val="1"/>
                <c:pt idx="0">
                  <c:v>21/22</c:v>
                </c:pt>
              </c:strCache>
            </c:strRef>
          </c:tx>
          <c:spPr>
            <a:solidFill>
              <a:srgbClr val="00A89C"/>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Summary!$D$134:$P$134</c:f>
              <c:numCache>
                <c:formatCode>0</c:formatCode>
                <c:ptCount val="13"/>
                <c:pt idx="0">
                  <c:v>47.428571428571431</c:v>
                </c:pt>
                <c:pt idx="1">
                  <c:v>48.428571428571431</c:v>
                </c:pt>
                <c:pt idx="2">
                  <c:v>93.142857142857139</c:v>
                </c:pt>
                <c:pt idx="3">
                  <c:v>74.285714285714292</c:v>
                </c:pt>
                <c:pt idx="4">
                  <c:v>55.285714285714285</c:v>
                </c:pt>
                <c:pt idx="5">
                  <c:v>25.857142857142858</c:v>
                </c:pt>
                <c:pt idx="6">
                  <c:v>25.857142857142858</c:v>
                </c:pt>
                <c:pt idx="7">
                  <c:v>51.285714285714285</c:v>
                </c:pt>
                <c:pt idx="8">
                  <c:v>95.285714285714292</c:v>
                </c:pt>
                <c:pt idx="9">
                  <c:v>79.571428571428569</c:v>
                </c:pt>
                <c:pt idx="10">
                  <c:v>44.714285714285715</c:v>
                </c:pt>
                <c:pt idx="11">
                  <c:v>38</c:v>
                </c:pt>
                <c:pt idx="12">
                  <c:v>37.428571428571431</c:v>
                </c:pt>
              </c:numCache>
            </c:numRef>
          </c:val>
          <c:extLst>
            <c:ext xmlns:c16="http://schemas.microsoft.com/office/drawing/2014/chart" uri="{C3380CC4-5D6E-409C-BE32-E72D297353CC}">
              <c16:uniqueId val="{00000000-EEA5-4AA1-BEB7-917B449FC105}"/>
            </c:ext>
          </c:extLst>
        </c:ser>
        <c:dLbls>
          <c:showLegendKey val="0"/>
          <c:showVal val="0"/>
          <c:showCatName val="0"/>
          <c:showSerName val="0"/>
          <c:showPercent val="0"/>
          <c:showBubbleSize val="0"/>
        </c:dLbls>
        <c:gapWidth val="50"/>
        <c:axId val="435401088"/>
        <c:axId val="435403392"/>
      </c:barChart>
      <c:lineChart>
        <c:grouping val="standard"/>
        <c:varyColors val="0"/>
        <c:ser>
          <c:idx val="0"/>
          <c:order val="0"/>
          <c:tx>
            <c:strRef>
              <c:f>Summary!$C$132</c:f>
              <c:strCache>
                <c:ptCount val="1"/>
                <c:pt idx="0">
                  <c:v>20/21</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Summary!$D$132:$P$132</c:f>
              <c:numCache>
                <c:formatCode>0</c:formatCode>
                <c:ptCount val="13"/>
                <c:pt idx="0">
                  <c:v>26.428571428571427</c:v>
                </c:pt>
                <c:pt idx="1">
                  <c:v>20.142857142857142</c:v>
                </c:pt>
                <c:pt idx="2">
                  <c:v>21.428571428571427</c:v>
                </c:pt>
                <c:pt idx="3">
                  <c:v>16.714285714285715</c:v>
                </c:pt>
                <c:pt idx="4">
                  <c:v>11.142857142857142</c:v>
                </c:pt>
                <c:pt idx="5">
                  <c:v>7.1428571428571432</c:v>
                </c:pt>
                <c:pt idx="6">
                  <c:v>5</c:v>
                </c:pt>
                <c:pt idx="7">
                  <c:v>5</c:v>
                </c:pt>
                <c:pt idx="8">
                  <c:v>6</c:v>
                </c:pt>
                <c:pt idx="9">
                  <c:v>16.714285714285715</c:v>
                </c:pt>
                <c:pt idx="10">
                  <c:v>12</c:v>
                </c:pt>
                <c:pt idx="11">
                  <c:v>9.5714285714285712</c:v>
                </c:pt>
                <c:pt idx="12">
                  <c:v>7.8571428571428568</c:v>
                </c:pt>
              </c:numCache>
            </c:numRef>
          </c:val>
          <c:smooth val="0"/>
          <c:extLst>
            <c:ext xmlns:c16="http://schemas.microsoft.com/office/drawing/2014/chart" uri="{C3380CC4-5D6E-409C-BE32-E72D297353CC}">
              <c16:uniqueId val="{00000001-EEA5-4AA1-BEB7-917B449FC105}"/>
            </c:ext>
          </c:extLst>
        </c:ser>
        <c:ser>
          <c:idx val="2"/>
          <c:order val="2"/>
          <c:tx>
            <c:v>19/20</c:v>
          </c:tx>
          <c:spPr>
            <a:ln w="25400">
              <a:solidFill>
                <a:srgbClr val="F79131"/>
              </a:solidFill>
              <a:prstDash val="sysDot"/>
            </a:ln>
          </c:spPr>
          <c:marker>
            <c:symbol val="none"/>
          </c:marker>
          <c:val>
            <c:numRef>
              <c:f>Summary!$D$131:$P$131</c:f>
              <c:numCache>
                <c:formatCode>0</c:formatCode>
                <c:ptCount val="13"/>
                <c:pt idx="0">
                  <c:v>171.42857142857142</c:v>
                </c:pt>
                <c:pt idx="1">
                  <c:v>146.42857142857142</c:v>
                </c:pt>
                <c:pt idx="2">
                  <c:v>138.57142857142858</c:v>
                </c:pt>
                <c:pt idx="3">
                  <c:v>84.571428571428569</c:v>
                </c:pt>
                <c:pt idx="4">
                  <c:v>74.571428571428569</c:v>
                </c:pt>
                <c:pt idx="5">
                  <c:v>123.42857142857143</c:v>
                </c:pt>
                <c:pt idx="6">
                  <c:v>99.571428571428569</c:v>
                </c:pt>
                <c:pt idx="7">
                  <c:v>145.71428571428572</c:v>
                </c:pt>
                <c:pt idx="8">
                  <c:v>146.14285714285714</c:v>
                </c:pt>
                <c:pt idx="9">
                  <c:v>137.28571428571428</c:v>
                </c:pt>
                <c:pt idx="10">
                  <c:v>125.57142857142857</c:v>
                </c:pt>
                <c:pt idx="11">
                  <c:v>103.57142857142857</c:v>
                </c:pt>
                <c:pt idx="12">
                  <c:v>125.71428571428571</c:v>
                </c:pt>
              </c:numCache>
            </c:numRef>
          </c:val>
          <c:smooth val="0"/>
          <c:extLst>
            <c:ext xmlns:c16="http://schemas.microsoft.com/office/drawing/2014/chart" uri="{C3380CC4-5D6E-409C-BE32-E72D297353CC}">
              <c16:uniqueId val="{00000002-EEA5-4AA1-BEB7-917B449FC105}"/>
            </c:ext>
          </c:extLst>
        </c:ser>
        <c:dLbls>
          <c:showLegendKey val="0"/>
          <c:showVal val="0"/>
          <c:showCatName val="0"/>
          <c:showSerName val="0"/>
          <c:showPercent val="0"/>
          <c:showBubbleSize val="0"/>
        </c:dLbls>
        <c:marker val="1"/>
        <c:smooth val="0"/>
        <c:axId val="435401088"/>
        <c:axId val="435403392"/>
      </c:lineChart>
      <c:catAx>
        <c:axId val="43540108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35403392"/>
        <c:crosses val="autoZero"/>
        <c:auto val="1"/>
        <c:lblAlgn val="ctr"/>
        <c:lblOffset val="100"/>
        <c:noMultiLvlLbl val="0"/>
      </c:catAx>
      <c:valAx>
        <c:axId val="435403392"/>
        <c:scaling>
          <c:orientation val="minMax"/>
          <c:min val="0"/>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35401088"/>
        <c:crosses val="autoZero"/>
        <c:crossBetween val="between"/>
      </c:valAx>
    </c:plotArea>
    <c:legend>
      <c:legendPos val="r"/>
      <c:layout>
        <c:manualLayout>
          <c:xMode val="edge"/>
          <c:yMode val="edge"/>
          <c:x val="0.47451480824348302"/>
          <c:y val="2.4626978146194732E-3"/>
          <c:w val="0.51396260406714889"/>
          <c:h val="0.1419531941808981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900">
                <a:latin typeface="+mn-lt"/>
              </a:rPr>
              <a:t>Adult</a:t>
            </a:r>
            <a:r>
              <a:rPr lang="en-GB" sz="900" baseline="0">
                <a:latin typeface="+mn-lt"/>
              </a:rPr>
              <a:t> critical care occupancy</a:t>
            </a:r>
            <a:endParaRPr lang="en-GB" sz="900">
              <a:latin typeface="+mn-lt"/>
            </a:endParaRPr>
          </a:p>
        </c:rich>
      </c:tx>
      <c:layout>
        <c:manualLayout>
          <c:xMode val="edge"/>
          <c:yMode val="edge"/>
          <c:x val="0.12913115872799238"/>
          <c:y val="3.2131562302340294E-2"/>
        </c:manualLayout>
      </c:layout>
      <c:overlay val="1"/>
    </c:title>
    <c:autoTitleDeleted val="0"/>
    <c:plotArea>
      <c:layout>
        <c:manualLayout>
          <c:layoutTarget val="inner"/>
          <c:xMode val="edge"/>
          <c:yMode val="edge"/>
          <c:x val="9.6666848642009001E-2"/>
          <c:y val="4.6387940122285476E-2"/>
          <c:w val="0.90911089238845144"/>
          <c:h val="0.74377762365196576"/>
        </c:manualLayout>
      </c:layout>
      <c:barChart>
        <c:barDir val="col"/>
        <c:grouping val="clustered"/>
        <c:varyColors val="0"/>
        <c:ser>
          <c:idx val="1"/>
          <c:order val="1"/>
          <c:tx>
            <c:strRef>
              <c:f>Summary!$C$150</c:f>
              <c:strCache>
                <c:ptCount val="1"/>
                <c:pt idx="0">
                  <c:v>21/22</c:v>
                </c:pt>
              </c:strCache>
            </c:strRef>
          </c:tx>
          <c:spPr>
            <a:solidFill>
              <a:srgbClr val="00A89C"/>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Summary!$D$150:$P$150</c:f>
              <c:numCache>
                <c:formatCode>0.0%</c:formatCode>
                <c:ptCount val="13"/>
                <c:pt idx="0">
                  <c:v>0.80811728946897909</c:v>
                </c:pt>
                <c:pt idx="1">
                  <c:v>0.80814511826427171</c:v>
                </c:pt>
                <c:pt idx="2">
                  <c:v>0.80029891110952955</c:v>
                </c:pt>
                <c:pt idx="3">
                  <c:v>0.75371649726914314</c:v>
                </c:pt>
                <c:pt idx="4">
                  <c:v>0.75192175827348517</c:v>
                </c:pt>
                <c:pt idx="5">
                  <c:v>0.77579905403468541</c:v>
                </c:pt>
                <c:pt idx="6">
                  <c:v>0.76401105805478764</c:v>
                </c:pt>
                <c:pt idx="7">
                  <c:v>0.74775325328923714</c:v>
                </c:pt>
                <c:pt idx="8">
                  <c:v>0.74249284601731447</c:v>
                </c:pt>
                <c:pt idx="9">
                  <c:v>0.75179843111737699</c:v>
                </c:pt>
                <c:pt idx="10">
                  <c:v>0.75538887270608801</c:v>
                </c:pt>
                <c:pt idx="11">
                  <c:v>0.75438404608261334</c:v>
                </c:pt>
                <c:pt idx="12">
                  <c:v>0.75502183406113532</c:v>
                </c:pt>
              </c:numCache>
            </c:numRef>
          </c:val>
          <c:extLst>
            <c:ext xmlns:c16="http://schemas.microsoft.com/office/drawing/2014/chart" uri="{C3380CC4-5D6E-409C-BE32-E72D297353CC}">
              <c16:uniqueId val="{00000000-588D-4AA4-834F-66BA975794EC}"/>
            </c:ext>
          </c:extLst>
        </c:ser>
        <c:dLbls>
          <c:showLegendKey val="0"/>
          <c:showVal val="0"/>
          <c:showCatName val="0"/>
          <c:showSerName val="0"/>
          <c:showPercent val="0"/>
          <c:showBubbleSize val="0"/>
        </c:dLbls>
        <c:gapWidth val="50"/>
        <c:axId val="459632640"/>
        <c:axId val="459635712"/>
      </c:barChart>
      <c:lineChart>
        <c:grouping val="standard"/>
        <c:varyColors val="0"/>
        <c:ser>
          <c:idx val="0"/>
          <c:order val="0"/>
          <c:tx>
            <c:strRef>
              <c:f>Summary!$C$148</c:f>
              <c:strCache>
                <c:ptCount val="1"/>
                <c:pt idx="0">
                  <c:v>20/21</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0.73717077590111957</c:v>
                </c:pt>
                <c:pt idx="1">
                  <c:v>0.75170078994035139</c:v>
                </c:pt>
                <c:pt idx="2">
                  <c:v>0.77040799389171066</c:v>
                </c:pt>
                <c:pt idx="3">
                  <c:v>0.76018467340767959</c:v>
                </c:pt>
                <c:pt idx="4">
                  <c:v>0.79547469805840088</c:v>
                </c:pt>
                <c:pt idx="5">
                  <c:v>0.83428857603917428</c:v>
                </c:pt>
                <c:pt idx="6">
                  <c:v>0.86481113320079528</c:v>
                </c:pt>
                <c:pt idx="7">
                  <c:v>0.87135040799962271</c:v>
                </c:pt>
                <c:pt idx="8">
                  <c:v>0.8617799345236713</c:v>
                </c:pt>
                <c:pt idx="9">
                  <c:v>0.83258975993201612</c:v>
                </c:pt>
                <c:pt idx="10">
                  <c:v>0.79740577581987271</c:v>
                </c:pt>
                <c:pt idx="11">
                  <c:v>0.77386114370249448</c:v>
                </c:pt>
                <c:pt idx="12">
                  <c:v>0.75271739130434778</c:v>
                </c:pt>
              </c:numCache>
            </c:numRef>
          </c:val>
          <c:smooth val="0"/>
          <c:extLst>
            <c:ext xmlns:c16="http://schemas.microsoft.com/office/drawing/2014/chart" uri="{C3380CC4-5D6E-409C-BE32-E72D297353CC}">
              <c16:uniqueId val="{00000001-588D-4AA4-834F-66BA975794EC}"/>
            </c:ext>
          </c:extLst>
        </c:ser>
        <c:ser>
          <c:idx val="3"/>
          <c:order val="2"/>
          <c:tx>
            <c:v>19/20</c:v>
          </c:tx>
          <c:spPr>
            <a:ln w="25400">
              <a:solidFill>
                <a:srgbClr val="F79131"/>
              </a:solidFill>
              <a:prstDash val="sysDot"/>
            </a:ln>
          </c:spPr>
          <c:marker>
            <c:symbol val="none"/>
          </c:marker>
          <c:val>
            <c:numRef>
              <c:f>Summary!$D$147:$P$147</c:f>
              <c:numCache>
                <c:formatCode>0.0%</c:formatCode>
                <c:ptCount val="13"/>
                <c:pt idx="0">
                  <c:v>0.83083453405506447</c:v>
                </c:pt>
                <c:pt idx="1">
                  <c:v>0.83786411542799366</c:v>
                </c:pt>
                <c:pt idx="2">
                  <c:v>0.8412383177570093</c:v>
                </c:pt>
                <c:pt idx="3">
                  <c:v>0.78613350027388684</c:v>
                </c:pt>
                <c:pt idx="4">
                  <c:v>0.82354774613316706</c:v>
                </c:pt>
                <c:pt idx="5">
                  <c:v>0.84481688392302923</c:v>
                </c:pt>
                <c:pt idx="6">
                  <c:v>0.83203883495145636</c:v>
                </c:pt>
                <c:pt idx="7">
                  <c:v>0.81908099688473524</c:v>
                </c:pt>
                <c:pt idx="8">
                  <c:v>0.82227857978930941</c:v>
                </c:pt>
                <c:pt idx="9">
                  <c:v>0.81373885275906388</c:v>
                </c:pt>
                <c:pt idx="10">
                  <c:v>0.81617332451670621</c:v>
                </c:pt>
                <c:pt idx="11">
                  <c:v>0.81046031622400494</c:v>
                </c:pt>
                <c:pt idx="12">
                  <c:v>0.81750175329229335</c:v>
                </c:pt>
              </c:numCache>
            </c:numRef>
          </c:val>
          <c:smooth val="0"/>
          <c:extLst>
            <c:ext xmlns:c16="http://schemas.microsoft.com/office/drawing/2014/chart" uri="{C3380CC4-5D6E-409C-BE32-E72D297353CC}">
              <c16:uniqueId val="{00000002-588D-4AA4-834F-66BA975794EC}"/>
            </c:ext>
          </c:extLst>
        </c:ser>
        <c:dLbls>
          <c:showLegendKey val="0"/>
          <c:showVal val="0"/>
          <c:showCatName val="0"/>
          <c:showSerName val="0"/>
          <c:showPercent val="0"/>
          <c:showBubbleSize val="0"/>
        </c:dLbls>
        <c:marker val="1"/>
        <c:smooth val="0"/>
        <c:axId val="459632640"/>
        <c:axId val="459635712"/>
      </c:lineChart>
      <c:catAx>
        <c:axId val="45963264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59635712"/>
        <c:crosses val="autoZero"/>
        <c:auto val="1"/>
        <c:lblAlgn val="ctr"/>
        <c:lblOffset val="100"/>
        <c:noMultiLvlLbl val="0"/>
      </c:catAx>
      <c:valAx>
        <c:axId val="45963571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459632640"/>
        <c:crosses val="autoZero"/>
        <c:crossBetween val="between"/>
        <c:majorUnit val="0.1"/>
      </c:valAx>
    </c:plotArea>
    <c:legend>
      <c:legendPos val="r"/>
      <c:layout>
        <c:manualLayout>
          <c:xMode val="edge"/>
          <c:yMode val="edge"/>
          <c:x val="0.57606523752367311"/>
          <c:y val="2.3938708867119176E-3"/>
          <c:w val="0.41616045398520679"/>
          <c:h val="0.11952194676932221"/>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a:pPr>
            <a:r>
              <a:rPr lang="en-GB" sz="900">
                <a:latin typeface="+mn-lt"/>
              </a:rPr>
              <a:t>Paediatric</a:t>
            </a:r>
            <a:r>
              <a:rPr lang="en-GB" sz="900" baseline="0">
                <a:latin typeface="+mn-lt"/>
              </a:rPr>
              <a:t> intensive care occupancy</a:t>
            </a:r>
          </a:p>
        </c:rich>
      </c:tx>
      <c:layout>
        <c:manualLayout>
          <c:xMode val="edge"/>
          <c:yMode val="edge"/>
          <c:x val="0.11973659069196126"/>
          <c:y val="4.5554473265940879E-2"/>
        </c:manualLayout>
      </c:layout>
      <c:overlay val="1"/>
    </c:title>
    <c:autoTitleDeleted val="0"/>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Summary!$C$174</c:f>
              <c:strCache>
                <c:ptCount val="1"/>
                <c:pt idx="0">
                  <c:v>21/22</c:v>
                </c:pt>
              </c:strCache>
            </c:strRef>
          </c:tx>
          <c:spPr>
            <a:solidFill>
              <a:srgbClr val="00A89C"/>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Summary!$D$174:$P$174</c:f>
              <c:numCache>
                <c:formatCode>0.0%</c:formatCode>
                <c:ptCount val="13"/>
                <c:pt idx="0">
                  <c:v>0.83073394495412844</c:v>
                </c:pt>
                <c:pt idx="1">
                  <c:v>0.80982424515547546</c:v>
                </c:pt>
                <c:pt idx="2">
                  <c:v>0.81207133058984915</c:v>
                </c:pt>
                <c:pt idx="3">
                  <c:v>0.79843173431734316</c:v>
                </c:pt>
                <c:pt idx="4">
                  <c:v>0.75092592592592589</c:v>
                </c:pt>
                <c:pt idx="5">
                  <c:v>0.73628884826325414</c:v>
                </c:pt>
                <c:pt idx="6">
                  <c:v>0.74499089253187611</c:v>
                </c:pt>
                <c:pt idx="7">
                  <c:v>0.75262917238225879</c:v>
                </c:pt>
                <c:pt idx="8">
                  <c:v>0.74309016764839153</c:v>
                </c:pt>
                <c:pt idx="9">
                  <c:v>0.75304191077061744</c:v>
                </c:pt>
                <c:pt idx="10">
                  <c:v>0.71746880570409988</c:v>
                </c:pt>
                <c:pt idx="11">
                  <c:v>0.68744394618834082</c:v>
                </c:pt>
                <c:pt idx="12">
                  <c:v>0.710799819249887</c:v>
                </c:pt>
              </c:numCache>
            </c:numRef>
          </c:val>
          <c:extLst>
            <c:ext xmlns:c16="http://schemas.microsoft.com/office/drawing/2014/chart" uri="{C3380CC4-5D6E-409C-BE32-E72D297353CC}">
              <c16:uniqueId val="{00000000-34F8-401D-9AD3-59E797B48A91}"/>
            </c:ext>
          </c:extLst>
        </c:ser>
        <c:dLbls>
          <c:showLegendKey val="0"/>
          <c:showVal val="0"/>
          <c:showCatName val="0"/>
          <c:showSerName val="0"/>
          <c:showPercent val="0"/>
          <c:showBubbleSize val="0"/>
        </c:dLbls>
        <c:gapWidth val="50"/>
        <c:axId val="463088256"/>
        <c:axId val="498782208"/>
      </c:barChart>
      <c:lineChart>
        <c:grouping val="standard"/>
        <c:varyColors val="0"/>
        <c:ser>
          <c:idx val="0"/>
          <c:order val="0"/>
          <c:tx>
            <c:strRef>
              <c:f>Summary!$C$172</c:f>
              <c:strCache>
                <c:ptCount val="1"/>
                <c:pt idx="0">
                  <c:v>20/21</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Summary!$D$172:$P$172</c:f>
              <c:numCache>
                <c:formatCode>0.0%</c:formatCode>
                <c:ptCount val="13"/>
                <c:pt idx="0">
                  <c:v>0.63000931966449203</c:v>
                </c:pt>
                <c:pt idx="1">
                  <c:v>0.63224068253255505</c:v>
                </c:pt>
                <c:pt idx="2">
                  <c:v>0.65779981965734902</c:v>
                </c:pt>
                <c:pt idx="3">
                  <c:v>0.64035087719298245</c:v>
                </c:pt>
                <c:pt idx="4">
                  <c:v>0.62046204620462042</c:v>
                </c:pt>
                <c:pt idx="5">
                  <c:v>0.63027656477438132</c:v>
                </c:pt>
                <c:pt idx="6">
                  <c:v>0.67001003009027083</c:v>
                </c:pt>
                <c:pt idx="7">
                  <c:v>0.70876826722338204</c:v>
                </c:pt>
                <c:pt idx="8">
                  <c:v>0.71752021563342316</c:v>
                </c:pt>
                <c:pt idx="9">
                  <c:v>0.68656716417910446</c:v>
                </c:pt>
                <c:pt idx="10">
                  <c:v>0.68619022031166044</c:v>
                </c:pt>
                <c:pt idx="11">
                  <c:v>0.6808176100628931</c:v>
                </c:pt>
                <c:pt idx="12">
                  <c:v>0.71501272264631044</c:v>
                </c:pt>
              </c:numCache>
            </c:numRef>
          </c:val>
          <c:smooth val="0"/>
          <c:extLst>
            <c:ext xmlns:c16="http://schemas.microsoft.com/office/drawing/2014/chart" uri="{C3380CC4-5D6E-409C-BE32-E72D297353CC}">
              <c16:uniqueId val="{00000001-34F8-401D-9AD3-59E797B48A91}"/>
            </c:ext>
          </c:extLst>
        </c:ser>
        <c:ser>
          <c:idx val="3"/>
          <c:order val="2"/>
          <c:tx>
            <c:v>19/20</c:v>
          </c:tx>
          <c:spPr>
            <a:ln w="25400">
              <a:solidFill>
                <a:srgbClr val="F79131"/>
              </a:solidFill>
              <a:prstDash val="sysDot"/>
            </a:ln>
          </c:spPr>
          <c:marker>
            <c:symbol val="none"/>
          </c:marker>
          <c:val>
            <c:numRef>
              <c:f>Summary!$D$171:$P$171</c:f>
              <c:numCache>
                <c:formatCode>0.0%</c:formatCode>
                <c:ptCount val="13"/>
                <c:pt idx="0">
                  <c:v>0.86875315497223626</c:v>
                </c:pt>
                <c:pt idx="1">
                  <c:v>0.85352255448555503</c:v>
                </c:pt>
                <c:pt idx="2">
                  <c:v>0.85447195553309752</c:v>
                </c:pt>
                <c:pt idx="3">
                  <c:v>0.82015503875968987</c:v>
                </c:pt>
                <c:pt idx="4">
                  <c:v>0.80145152928978747</c:v>
                </c:pt>
                <c:pt idx="5">
                  <c:v>0.8007284079084287</c:v>
                </c:pt>
                <c:pt idx="6">
                  <c:v>0.79655712050078242</c:v>
                </c:pt>
                <c:pt idx="7">
                  <c:v>0.77703398558187431</c:v>
                </c:pt>
                <c:pt idx="8">
                  <c:v>0.78215767634854771</c:v>
                </c:pt>
                <c:pt idx="9">
                  <c:v>0.7951370926021728</c:v>
                </c:pt>
                <c:pt idx="10">
                  <c:v>0.75413223140495866</c:v>
                </c:pt>
                <c:pt idx="11">
                  <c:v>0.77308294209702655</c:v>
                </c:pt>
                <c:pt idx="12">
                  <c:v>0.78416149068322982</c:v>
                </c:pt>
              </c:numCache>
            </c:numRef>
          </c:val>
          <c:smooth val="0"/>
          <c:extLst>
            <c:ext xmlns:c16="http://schemas.microsoft.com/office/drawing/2014/chart" uri="{C3380CC4-5D6E-409C-BE32-E72D297353CC}">
              <c16:uniqueId val="{00000002-34F8-401D-9AD3-59E797B48A91}"/>
            </c:ext>
          </c:extLst>
        </c:ser>
        <c:dLbls>
          <c:showLegendKey val="0"/>
          <c:showVal val="0"/>
          <c:showCatName val="0"/>
          <c:showSerName val="0"/>
          <c:showPercent val="0"/>
          <c:showBubbleSize val="0"/>
        </c:dLbls>
        <c:marker val="1"/>
        <c:smooth val="0"/>
        <c:axId val="463088256"/>
        <c:axId val="498782208"/>
      </c:lineChart>
      <c:catAx>
        <c:axId val="46308825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98782208"/>
        <c:crosses val="autoZero"/>
        <c:auto val="1"/>
        <c:lblAlgn val="ctr"/>
        <c:lblOffset val="100"/>
        <c:noMultiLvlLbl val="0"/>
      </c:catAx>
      <c:valAx>
        <c:axId val="49878220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463088256"/>
        <c:crosses val="autoZero"/>
        <c:crossBetween val="between"/>
        <c:majorUnit val="0.1"/>
      </c:valAx>
    </c:plotArea>
    <c:legend>
      <c:legendPos val="r"/>
      <c:layout>
        <c:manualLayout>
          <c:xMode val="edge"/>
          <c:yMode val="edge"/>
          <c:x val="0.62732823802374782"/>
          <c:y val="1.1384984815311816E-3"/>
          <c:w val="0.36489750238842639"/>
          <c:h val="0.1434611768522603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900"/>
            </a:pPr>
            <a:r>
              <a:rPr lang="en-GB" sz="900" b="1">
                <a:latin typeface="+mn-lt"/>
              </a:rPr>
              <a:t>Neonatal</a:t>
            </a:r>
            <a:r>
              <a:rPr lang="en-GB" sz="900" b="1" baseline="0">
                <a:latin typeface="+mn-lt"/>
              </a:rPr>
              <a:t> intensive care o</a:t>
            </a:r>
            <a:r>
              <a:rPr lang="en-GB" sz="900" b="1">
                <a:latin typeface="+mn-lt"/>
              </a:rPr>
              <a:t>ccupancy</a:t>
            </a:r>
            <a:endParaRPr lang="en-GB" sz="900" b="1" baseline="0">
              <a:latin typeface="+mn-lt"/>
            </a:endParaRPr>
          </a:p>
        </c:rich>
      </c:tx>
      <c:layout>
        <c:manualLayout>
          <c:xMode val="edge"/>
          <c:yMode val="edge"/>
          <c:x val="0.12219789818479597"/>
          <c:y val="4.2463075722614138E-2"/>
        </c:manualLayout>
      </c:layout>
      <c:overlay val="1"/>
    </c:title>
    <c:autoTitleDeleted val="0"/>
    <c:plotArea>
      <c:layout>
        <c:manualLayout>
          <c:layoutTarget val="inner"/>
          <c:xMode val="edge"/>
          <c:yMode val="edge"/>
          <c:x val="0.10372927287362491"/>
          <c:y val="8.4642085539047535E-2"/>
          <c:w val="0.90911089238845144"/>
          <c:h val="0.74377762365196576"/>
        </c:manualLayout>
      </c:layout>
      <c:barChart>
        <c:barDir val="col"/>
        <c:grouping val="clustered"/>
        <c:varyColors val="0"/>
        <c:ser>
          <c:idx val="1"/>
          <c:order val="1"/>
          <c:tx>
            <c:strRef>
              <c:f>Summary!$C$198</c:f>
              <c:strCache>
                <c:ptCount val="1"/>
                <c:pt idx="0">
                  <c:v>21/22</c:v>
                </c:pt>
              </c:strCache>
            </c:strRef>
          </c:tx>
          <c:spPr>
            <a:solidFill>
              <a:srgbClr val="00A89C"/>
            </a:solidFill>
            <a:ln w="19050"/>
          </c:spPr>
          <c:invertIfNegative val="0"/>
          <c:cat>
            <c:strRef>
              <c:f>Summary!$D$4:$P$4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Summary!$D$198:$P$198</c:f>
              <c:numCache>
                <c:formatCode>0.0%</c:formatCode>
                <c:ptCount val="13"/>
                <c:pt idx="0">
                  <c:v>0.69335426478283624</c:v>
                </c:pt>
                <c:pt idx="1">
                  <c:v>0.70266969115337641</c:v>
                </c:pt>
                <c:pt idx="2">
                  <c:v>0.71801997394702566</c:v>
                </c:pt>
                <c:pt idx="3">
                  <c:v>0.67865246989003314</c:v>
                </c:pt>
                <c:pt idx="4">
                  <c:v>0.67961838681699915</c:v>
                </c:pt>
                <c:pt idx="5">
                  <c:v>0.6958333333333333</c:v>
                </c:pt>
                <c:pt idx="6">
                  <c:v>0.69277421590712185</c:v>
                </c:pt>
                <c:pt idx="7">
                  <c:v>0.70056204063986161</c:v>
                </c:pt>
                <c:pt idx="8">
                  <c:v>0.70520878174774004</c:v>
                </c:pt>
                <c:pt idx="9">
                  <c:v>0.67354011436492811</c:v>
                </c:pt>
                <c:pt idx="10">
                  <c:v>0.66203339452749366</c:v>
                </c:pt>
                <c:pt idx="11">
                  <c:v>0.67059537221596321</c:v>
                </c:pt>
                <c:pt idx="12">
                  <c:v>0.66695546699012298</c:v>
                </c:pt>
              </c:numCache>
            </c:numRef>
          </c:val>
          <c:extLst>
            <c:ext xmlns:c16="http://schemas.microsoft.com/office/drawing/2014/chart" uri="{C3380CC4-5D6E-409C-BE32-E72D297353CC}">
              <c16:uniqueId val="{00000000-27EC-4CFA-B942-E4BC1BD22551}"/>
            </c:ext>
          </c:extLst>
        </c:ser>
        <c:dLbls>
          <c:showLegendKey val="0"/>
          <c:showVal val="0"/>
          <c:showCatName val="0"/>
          <c:showSerName val="0"/>
          <c:showPercent val="0"/>
          <c:showBubbleSize val="0"/>
        </c:dLbls>
        <c:gapWidth val="50"/>
        <c:axId val="561923968"/>
        <c:axId val="561932160"/>
      </c:barChart>
      <c:lineChart>
        <c:grouping val="standard"/>
        <c:varyColors val="0"/>
        <c:ser>
          <c:idx val="0"/>
          <c:order val="0"/>
          <c:tx>
            <c:strRef>
              <c:f>Summary!$C$196</c:f>
              <c:strCache>
                <c:ptCount val="1"/>
                <c:pt idx="0">
                  <c:v>20/21</c:v>
                </c:pt>
              </c:strCache>
            </c:strRef>
          </c:tx>
          <c:spPr>
            <a:ln w="25400">
              <a:solidFill>
                <a:srgbClr val="C00848"/>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Summary!$D$196:$P$196</c:f>
              <c:numCache>
                <c:formatCode>0.0%</c:formatCode>
                <c:ptCount val="13"/>
                <c:pt idx="0">
                  <c:v>0.61681567777476742</c:v>
                </c:pt>
                <c:pt idx="1">
                  <c:v>0.62331081081081086</c:v>
                </c:pt>
                <c:pt idx="2">
                  <c:v>0.65003141549232568</c:v>
                </c:pt>
                <c:pt idx="3">
                  <c:v>0.64797961412449945</c:v>
                </c:pt>
                <c:pt idx="4">
                  <c:v>0.64350370302642401</c:v>
                </c:pt>
                <c:pt idx="5">
                  <c:v>0.65659893831228267</c:v>
                </c:pt>
                <c:pt idx="6">
                  <c:v>0.65577660156962947</c:v>
                </c:pt>
                <c:pt idx="7">
                  <c:v>0.65172475745598279</c:v>
                </c:pt>
                <c:pt idx="8">
                  <c:v>0.64859563085153815</c:v>
                </c:pt>
                <c:pt idx="9">
                  <c:v>0.6371357053459682</c:v>
                </c:pt>
                <c:pt idx="10">
                  <c:v>0.63764768588433862</c:v>
                </c:pt>
                <c:pt idx="11">
                  <c:v>0.64123276846079547</c:v>
                </c:pt>
                <c:pt idx="12">
                  <c:v>0.6508063087010455</c:v>
                </c:pt>
              </c:numCache>
            </c:numRef>
          </c:val>
          <c:smooth val="0"/>
          <c:extLst>
            <c:ext xmlns:c16="http://schemas.microsoft.com/office/drawing/2014/chart" uri="{C3380CC4-5D6E-409C-BE32-E72D297353CC}">
              <c16:uniqueId val="{00000001-27EC-4CFA-B942-E4BC1BD22551}"/>
            </c:ext>
          </c:extLst>
        </c:ser>
        <c:ser>
          <c:idx val="3"/>
          <c:order val="2"/>
          <c:tx>
            <c:v>19/20</c:v>
          </c:tx>
          <c:spPr>
            <a:ln w="25400">
              <a:solidFill>
                <a:srgbClr val="F79131"/>
              </a:solidFill>
              <a:prstDash val="sysDot"/>
            </a:ln>
          </c:spPr>
          <c:marker>
            <c:symbol val="none"/>
          </c:marker>
          <c:val>
            <c:numRef>
              <c:f>Summary!$D$195:$P$195</c:f>
              <c:numCache>
                <c:formatCode>0.0%</c:formatCode>
                <c:ptCount val="13"/>
                <c:pt idx="0">
                  <c:v>0.73157389635316694</c:v>
                </c:pt>
                <c:pt idx="1">
                  <c:v>0.74428653735356254</c:v>
                </c:pt>
                <c:pt idx="2">
                  <c:v>0.74739259401014257</c:v>
                </c:pt>
                <c:pt idx="3">
                  <c:v>0.71139386928860615</c:v>
                </c:pt>
                <c:pt idx="4">
                  <c:v>0.69080027029636071</c:v>
                </c:pt>
                <c:pt idx="5">
                  <c:v>0.70377503852080125</c:v>
                </c:pt>
                <c:pt idx="6">
                  <c:v>0.69971236816874405</c:v>
                </c:pt>
                <c:pt idx="7">
                  <c:v>0.6976788981989791</c:v>
                </c:pt>
                <c:pt idx="8">
                  <c:v>0.70355349555813051</c:v>
                </c:pt>
                <c:pt idx="9">
                  <c:v>0.69191677054367628</c:v>
                </c:pt>
                <c:pt idx="10">
                  <c:v>0.70221752903907075</c:v>
                </c:pt>
                <c:pt idx="11">
                  <c:v>0.69187997315693606</c:v>
                </c:pt>
                <c:pt idx="12">
                  <c:v>0.67915896038158274</c:v>
                </c:pt>
              </c:numCache>
            </c:numRef>
          </c:val>
          <c:smooth val="0"/>
          <c:extLst>
            <c:ext xmlns:c16="http://schemas.microsoft.com/office/drawing/2014/chart" uri="{C3380CC4-5D6E-409C-BE32-E72D297353CC}">
              <c16:uniqueId val="{00000002-27EC-4CFA-B942-E4BC1BD22551}"/>
            </c:ext>
          </c:extLst>
        </c:ser>
        <c:dLbls>
          <c:showLegendKey val="0"/>
          <c:showVal val="0"/>
          <c:showCatName val="0"/>
          <c:showSerName val="0"/>
          <c:showPercent val="0"/>
          <c:showBubbleSize val="0"/>
        </c:dLbls>
        <c:marker val="1"/>
        <c:smooth val="0"/>
        <c:axId val="561923968"/>
        <c:axId val="561932160"/>
      </c:lineChart>
      <c:catAx>
        <c:axId val="56192396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1932160"/>
        <c:crosses val="autoZero"/>
        <c:auto val="1"/>
        <c:lblAlgn val="ctr"/>
        <c:lblOffset val="100"/>
        <c:noMultiLvlLbl val="0"/>
      </c:catAx>
      <c:valAx>
        <c:axId val="56193216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1923968"/>
        <c:crosses val="autoZero"/>
        <c:crossBetween val="between"/>
        <c:majorUnit val="0.1"/>
      </c:valAx>
    </c:plotArea>
    <c:legend>
      <c:legendPos val="r"/>
      <c:layout>
        <c:manualLayout>
          <c:xMode val="edge"/>
          <c:yMode val="edge"/>
          <c:x val="0.59877084755015697"/>
          <c:y val="1.3196984399492418E-3"/>
          <c:w val="0.40122915244984303"/>
          <c:h val="0.150441327606390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17</xdr:col>
      <xdr:colOff>33866</xdr:colOff>
      <xdr:row>4</xdr:row>
      <xdr:rowOff>53974</xdr:rowOff>
    </xdr:from>
    <xdr:to>
      <xdr:col>23</xdr:col>
      <xdr:colOff>414666</xdr:colOff>
      <xdr:row>18</xdr:row>
      <xdr:rowOff>139474</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62</xdr:row>
      <xdr:rowOff>104774</xdr:rowOff>
    </xdr:from>
    <xdr:to>
      <xdr:col>23</xdr:col>
      <xdr:colOff>580575</xdr:colOff>
      <xdr:row>76</xdr:row>
      <xdr:rowOff>95024</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61</xdr:row>
      <xdr:rowOff>190500</xdr:rowOff>
    </xdr:from>
    <xdr:to>
      <xdr:col>29</xdr:col>
      <xdr:colOff>9525</xdr:colOff>
      <xdr:row>61</xdr:row>
      <xdr:rowOff>190500</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78</xdr:row>
      <xdr:rowOff>190500</xdr:rowOff>
    </xdr:from>
    <xdr:to>
      <xdr:col>29</xdr:col>
      <xdr:colOff>9525</xdr:colOff>
      <xdr:row>78</xdr:row>
      <xdr:rowOff>190500</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78</xdr:row>
      <xdr:rowOff>352425</xdr:rowOff>
    </xdr:from>
    <xdr:to>
      <xdr:col>24</xdr:col>
      <xdr:colOff>95250</xdr:colOff>
      <xdr:row>89</xdr:row>
      <xdr:rowOff>180975</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113242</xdr:colOff>
      <xdr:row>102</xdr:row>
      <xdr:rowOff>10584</xdr:rowOff>
    </xdr:from>
    <xdr:to>
      <xdr:col>25</xdr:col>
      <xdr:colOff>84667</xdr:colOff>
      <xdr:row>113</xdr:row>
      <xdr:rowOff>186269</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113</xdr:row>
      <xdr:rowOff>190500</xdr:rowOff>
    </xdr:from>
    <xdr:to>
      <xdr:col>29</xdr:col>
      <xdr:colOff>9525</xdr:colOff>
      <xdr:row>113</xdr:row>
      <xdr:rowOff>190500</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114</xdr:row>
      <xdr:rowOff>180975</xdr:rowOff>
    </xdr:from>
    <xdr:to>
      <xdr:col>23</xdr:col>
      <xdr:colOff>494850</xdr:colOff>
      <xdr:row>128</xdr:row>
      <xdr:rowOff>171225</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131</xdr:row>
      <xdr:rowOff>0</xdr:rowOff>
    </xdr:from>
    <xdr:to>
      <xdr:col>23</xdr:col>
      <xdr:colOff>580575</xdr:colOff>
      <xdr:row>144</xdr:row>
      <xdr:rowOff>180750</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146</xdr:row>
      <xdr:rowOff>19050</xdr:rowOff>
    </xdr:from>
    <xdr:to>
      <xdr:col>23</xdr:col>
      <xdr:colOff>542475</xdr:colOff>
      <xdr:row>159</xdr:row>
      <xdr:rowOff>104550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169</xdr:row>
      <xdr:rowOff>190500</xdr:rowOff>
    </xdr:from>
    <xdr:to>
      <xdr:col>29</xdr:col>
      <xdr:colOff>9525</xdr:colOff>
      <xdr:row>169</xdr:row>
      <xdr:rowOff>190500</xdr:rowOff>
    </xdr:to>
    <xdr:cxnSp macro="">
      <xdr:nvCxnSpPr>
        <xdr:cNvPr id="15" name="Straight Connector 14">
          <a:extLst>
            <a:ext uri="{FF2B5EF4-FFF2-40B4-BE49-F238E27FC236}">
              <a16:creationId xmlns:a16="http://schemas.microsoft.com/office/drawing/2014/main" id="{00000000-0008-0000-0000-00000F000000}"/>
            </a:ext>
          </a:extLst>
        </xdr:cNvPr>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193</xdr:row>
      <xdr:rowOff>190500</xdr:rowOff>
    </xdr:from>
    <xdr:to>
      <xdr:col>29</xdr:col>
      <xdr:colOff>9525</xdr:colOff>
      <xdr:row>193</xdr:row>
      <xdr:rowOff>190500</xdr:rowOff>
    </xdr:to>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217</xdr:row>
      <xdr:rowOff>190500</xdr:rowOff>
    </xdr:from>
    <xdr:to>
      <xdr:col>29</xdr:col>
      <xdr:colOff>9525</xdr:colOff>
      <xdr:row>217</xdr:row>
      <xdr:rowOff>190500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169</xdr:row>
      <xdr:rowOff>295275</xdr:rowOff>
    </xdr:from>
    <xdr:to>
      <xdr:col>23</xdr:col>
      <xdr:colOff>580575</xdr:colOff>
      <xdr:row>182</xdr:row>
      <xdr:rowOff>190275</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183446</xdr:colOff>
      <xdr:row>193</xdr:row>
      <xdr:rowOff>352425</xdr:rowOff>
    </xdr:from>
    <xdr:to>
      <xdr:col>23</xdr:col>
      <xdr:colOff>552001</xdr:colOff>
      <xdr:row>207</xdr:row>
      <xdr:rowOff>169333</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217</xdr:row>
      <xdr:rowOff>333375</xdr:rowOff>
    </xdr:from>
    <xdr:to>
      <xdr:col>23</xdr:col>
      <xdr:colOff>561975</xdr:colOff>
      <xdr:row>230</xdr:row>
      <xdr:rowOff>142875</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243</xdr:row>
      <xdr:rowOff>114300</xdr:rowOff>
    </xdr:from>
    <xdr:to>
      <xdr:col>23</xdr:col>
      <xdr:colOff>571500</xdr:colOff>
      <xdr:row>257</xdr:row>
      <xdr:rowOff>9524</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9525</xdr:colOff>
      <xdr:row>19</xdr:row>
      <xdr:rowOff>190500</xdr:rowOff>
    </xdr:from>
    <xdr:to>
      <xdr:col>29</xdr:col>
      <xdr:colOff>9525</xdr:colOff>
      <xdr:row>19</xdr:row>
      <xdr:rowOff>190500</xdr:rowOff>
    </xdr:to>
    <xdr:cxnSp macro="">
      <xdr:nvCxnSpPr>
        <xdr:cNvPr id="24" name="Straight Connector 23">
          <a:extLst>
            <a:ext uri="{FF2B5EF4-FFF2-40B4-BE49-F238E27FC236}">
              <a16:creationId xmlns:a16="http://schemas.microsoft.com/office/drawing/2014/main" id="{00000000-0008-0000-0000-000018000000}"/>
            </a:ext>
          </a:extLst>
        </xdr:cNvPr>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48</xdr:row>
      <xdr:rowOff>66675</xdr:rowOff>
    </xdr:from>
    <xdr:to>
      <xdr:col>23</xdr:col>
      <xdr:colOff>542475</xdr:colOff>
      <xdr:row>61</xdr:row>
      <xdr:rowOff>152175</xdr:rowOff>
    </xdr:to>
    <xdr:graphicFrame macro="">
      <xdr:nvGraphicFramePr>
        <xdr:cNvPr id="29" name="Chart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68793</xdr:colOff>
      <xdr:row>91</xdr:row>
      <xdr:rowOff>21165</xdr:rowOff>
    </xdr:from>
    <xdr:to>
      <xdr:col>25</xdr:col>
      <xdr:colOff>2</xdr:colOff>
      <xdr:row>102</xdr:row>
      <xdr:rowOff>186266</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21167</xdr:colOff>
      <xdr:row>231</xdr:row>
      <xdr:rowOff>74083</xdr:rowOff>
    </xdr:from>
    <xdr:to>
      <xdr:col>23</xdr:col>
      <xdr:colOff>426509</xdr:colOff>
      <xdr:row>242</xdr:row>
      <xdr:rowOff>170391</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257</xdr:row>
      <xdr:rowOff>0</xdr:rowOff>
    </xdr:from>
    <xdr:to>
      <xdr:col>29</xdr:col>
      <xdr:colOff>0</xdr:colOff>
      <xdr:row>257</xdr:row>
      <xdr:rowOff>0</xdr:rowOff>
    </xdr:to>
    <xdr:cxnSp macro="">
      <xdr:nvCxnSpPr>
        <xdr:cNvPr id="27" name="Straight Connector 26">
          <a:extLst>
            <a:ext uri="{FF2B5EF4-FFF2-40B4-BE49-F238E27FC236}">
              <a16:creationId xmlns:a16="http://schemas.microsoft.com/office/drawing/2014/main" id="{E7A4E17F-A6B7-46E8-8E3C-0D13ABAC1858}"/>
            </a:ext>
          </a:extLst>
        </xdr:cNvPr>
        <xdr:cNvCxnSpPr/>
      </xdr:nvCxnSpPr>
      <xdr:spPr>
        <a:xfrm>
          <a:off x="119944" y="41775944"/>
          <a:ext cx="16869834"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90715</xdr:colOff>
      <xdr:row>310</xdr:row>
      <xdr:rowOff>54429</xdr:rowOff>
    </xdr:from>
    <xdr:to>
      <xdr:col>24</xdr:col>
      <xdr:colOff>25855</xdr:colOff>
      <xdr:row>321</xdr:row>
      <xdr:rowOff>149225</xdr:rowOff>
    </xdr:to>
    <xdr:graphicFrame macro="">
      <xdr:nvGraphicFramePr>
        <xdr:cNvPr id="28" name="Chart 27">
          <a:extLst>
            <a:ext uri="{FF2B5EF4-FFF2-40B4-BE49-F238E27FC236}">
              <a16:creationId xmlns:a16="http://schemas.microsoft.com/office/drawing/2014/main" id="{C77341F8-0A51-400E-85B1-9E721195A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281</xdr:row>
      <xdr:rowOff>0</xdr:rowOff>
    </xdr:from>
    <xdr:to>
      <xdr:col>29</xdr:col>
      <xdr:colOff>0</xdr:colOff>
      <xdr:row>281</xdr:row>
      <xdr:rowOff>0</xdr:rowOff>
    </xdr:to>
    <xdr:cxnSp macro="">
      <xdr:nvCxnSpPr>
        <xdr:cNvPr id="30" name="Straight Connector 29">
          <a:extLst>
            <a:ext uri="{FF2B5EF4-FFF2-40B4-BE49-F238E27FC236}">
              <a16:creationId xmlns:a16="http://schemas.microsoft.com/office/drawing/2014/main" id="{BDDCB661-AEBC-4653-9D4D-B6314808FDF1}"/>
            </a:ext>
          </a:extLst>
        </xdr:cNvPr>
        <xdr:cNvCxnSpPr/>
      </xdr:nvCxnSpPr>
      <xdr:spPr>
        <a:xfrm>
          <a:off x="117929" y="46436643"/>
          <a:ext cx="16945428"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305</xdr:row>
      <xdr:rowOff>0</xdr:rowOff>
    </xdr:from>
    <xdr:to>
      <xdr:col>29</xdr:col>
      <xdr:colOff>0</xdr:colOff>
      <xdr:row>305</xdr:row>
      <xdr:rowOff>0</xdr:rowOff>
    </xdr:to>
    <xdr:cxnSp macro="">
      <xdr:nvCxnSpPr>
        <xdr:cNvPr id="32" name="Straight Connector 31">
          <a:extLst>
            <a:ext uri="{FF2B5EF4-FFF2-40B4-BE49-F238E27FC236}">
              <a16:creationId xmlns:a16="http://schemas.microsoft.com/office/drawing/2014/main" id="{422F3DFE-566F-4C91-9432-45AC4179A9E8}"/>
            </a:ext>
          </a:extLst>
        </xdr:cNvPr>
        <xdr:cNvCxnSpPr/>
      </xdr:nvCxnSpPr>
      <xdr:spPr>
        <a:xfrm>
          <a:off x="117929" y="49357643"/>
          <a:ext cx="16945428"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199570</xdr:colOff>
      <xdr:row>281</xdr:row>
      <xdr:rowOff>72573</xdr:rowOff>
    </xdr:from>
    <xdr:to>
      <xdr:col>23</xdr:col>
      <xdr:colOff>542924</xdr:colOff>
      <xdr:row>292</xdr:row>
      <xdr:rowOff>167369</xdr:rowOff>
    </xdr:to>
    <xdr:graphicFrame macro="">
      <xdr:nvGraphicFramePr>
        <xdr:cNvPr id="33" name="Chart 32">
          <a:extLst>
            <a:ext uri="{FF2B5EF4-FFF2-40B4-BE49-F238E27FC236}">
              <a16:creationId xmlns:a16="http://schemas.microsoft.com/office/drawing/2014/main" id="{D7384F76-929B-44B1-B908-3B568BC4F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36285</xdr:colOff>
      <xdr:row>293</xdr:row>
      <xdr:rowOff>99785</xdr:rowOff>
    </xdr:from>
    <xdr:to>
      <xdr:col>23</xdr:col>
      <xdr:colOff>579210</xdr:colOff>
      <xdr:row>304</xdr:row>
      <xdr:rowOff>176438</xdr:rowOff>
    </xdr:to>
    <xdr:graphicFrame macro="">
      <xdr:nvGraphicFramePr>
        <xdr:cNvPr id="34" name="Chart 33">
          <a:extLst>
            <a:ext uri="{FF2B5EF4-FFF2-40B4-BE49-F238E27FC236}">
              <a16:creationId xmlns:a16="http://schemas.microsoft.com/office/drawing/2014/main" id="{17860556-6063-4AB2-BA62-09956106D2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18143</xdr:colOff>
      <xdr:row>257</xdr:row>
      <xdr:rowOff>90714</xdr:rowOff>
    </xdr:from>
    <xdr:to>
      <xdr:col>23</xdr:col>
      <xdr:colOff>561068</xdr:colOff>
      <xdr:row>269</xdr:row>
      <xdr:rowOff>4081</xdr:rowOff>
    </xdr:to>
    <xdr:graphicFrame macro="">
      <xdr:nvGraphicFramePr>
        <xdr:cNvPr id="35" name="Chart 34">
          <a:extLst>
            <a:ext uri="{FF2B5EF4-FFF2-40B4-BE49-F238E27FC236}">
              <a16:creationId xmlns:a16="http://schemas.microsoft.com/office/drawing/2014/main" id="{2DF15C9C-6FA4-4F90-8A87-592307C64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269</xdr:row>
      <xdr:rowOff>0</xdr:rowOff>
    </xdr:from>
    <xdr:to>
      <xdr:col>23</xdr:col>
      <xdr:colOff>542925</xdr:colOff>
      <xdr:row>280</xdr:row>
      <xdr:rowOff>94796</xdr:rowOff>
    </xdr:to>
    <xdr:graphicFrame macro="">
      <xdr:nvGraphicFramePr>
        <xdr:cNvPr id="36" name="Chart 35">
          <a:extLst>
            <a:ext uri="{FF2B5EF4-FFF2-40B4-BE49-F238E27FC236}">
              <a16:creationId xmlns:a16="http://schemas.microsoft.com/office/drawing/2014/main" id="{82C42056-91C4-4F2E-AC76-D43695FCD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81644</xdr:colOff>
      <xdr:row>305</xdr:row>
      <xdr:rowOff>117929</xdr:rowOff>
    </xdr:from>
    <xdr:to>
      <xdr:col>23</xdr:col>
      <xdr:colOff>522769</xdr:colOff>
      <xdr:row>336</xdr:row>
      <xdr:rowOff>172358</xdr:rowOff>
    </xdr:to>
    <xdr:graphicFrame macro="">
      <xdr:nvGraphicFramePr>
        <xdr:cNvPr id="37" name="Chart 36">
          <a:extLst>
            <a:ext uri="{FF2B5EF4-FFF2-40B4-BE49-F238E27FC236}">
              <a16:creationId xmlns:a16="http://schemas.microsoft.com/office/drawing/2014/main" id="{0124B78A-F4E5-4CEC-9BFC-F05E78C39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154214</xdr:colOff>
      <xdr:row>338</xdr:row>
      <xdr:rowOff>0</xdr:rowOff>
    </xdr:from>
    <xdr:to>
      <xdr:col>23</xdr:col>
      <xdr:colOff>535213</xdr:colOff>
      <xdr:row>349</xdr:row>
      <xdr:rowOff>54428</xdr:rowOff>
    </xdr:to>
    <xdr:graphicFrame macro="">
      <xdr:nvGraphicFramePr>
        <xdr:cNvPr id="39" name="Chart 38">
          <a:extLst>
            <a:ext uri="{FF2B5EF4-FFF2-40B4-BE49-F238E27FC236}">
              <a16:creationId xmlns:a16="http://schemas.microsoft.com/office/drawing/2014/main" id="{920D90DC-2670-4CC3-8AEE-DB9C2FF76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0</xdr:colOff>
      <xdr:row>350</xdr:row>
      <xdr:rowOff>0</xdr:rowOff>
    </xdr:from>
    <xdr:to>
      <xdr:col>23</xdr:col>
      <xdr:colOff>580571</xdr:colOff>
      <xdr:row>361</xdr:row>
      <xdr:rowOff>54428</xdr:rowOff>
    </xdr:to>
    <xdr:graphicFrame macro="">
      <xdr:nvGraphicFramePr>
        <xdr:cNvPr id="38" name="Chart 37">
          <a:extLst>
            <a:ext uri="{FF2B5EF4-FFF2-40B4-BE49-F238E27FC236}">
              <a16:creationId xmlns:a16="http://schemas.microsoft.com/office/drawing/2014/main" id="{8F32BF3A-4ADD-4AEC-AC73-317886BF2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&gt;30 mins</a:t>
          </a:r>
        </a:p>
      </cdr:txBody>
    </cdr:sp>
  </cdr:relSizeAnchor>
</c:userShapes>
</file>

<file path=xl/drawings/drawing11.xml><?xml version="1.0" encoding="utf-8"?>
<c:userShapes xmlns:c="http://schemas.openxmlformats.org/drawingml/2006/chart">
  <cdr:relSizeAnchor xmlns:cdr="http://schemas.openxmlformats.org/drawingml/2006/chartDrawing">
    <cdr:from>
      <cdr:x>0.11378</cdr:x>
      <cdr:y>0.03175</cdr:y>
    </cdr:from>
    <cdr:to>
      <cdr:x>0.63348</cdr:x>
      <cdr:y>0.11716</cdr:y>
    </cdr:to>
    <cdr:sp macro="" textlink="">
      <cdr:nvSpPr>
        <cdr:cNvPr id="2" name="TextBox 1"/>
        <cdr:cNvSpPr txBox="1"/>
      </cdr:nvSpPr>
      <cdr:spPr>
        <a:xfrm xmlns:a="http://schemas.openxmlformats.org/drawingml/2006/main">
          <a:off x="421993" y="66374"/>
          <a:ext cx="1927507" cy="178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Beds</a:t>
          </a:r>
          <a:r>
            <a:rPr lang="en-GB" sz="800" b="1" baseline="0"/>
            <a:t> occupied by COVID-19 patients</a:t>
          </a:r>
          <a:endParaRPr lang="en-GB" sz="800" b="1"/>
        </a:p>
      </cdr:txBody>
    </cdr:sp>
  </cdr:relSizeAnchor>
</c:userShapes>
</file>

<file path=xl/drawings/drawing12.xml><?xml version="1.0" encoding="utf-8"?>
<c:userShapes xmlns:c="http://schemas.openxmlformats.org/drawingml/2006/chart">
  <cdr:relSizeAnchor xmlns:cdr="http://schemas.openxmlformats.org/drawingml/2006/chartDrawing">
    <cdr:from>
      <cdr:x>0.11378</cdr:x>
      <cdr:y>0.03175</cdr:y>
    </cdr:from>
    <cdr:to>
      <cdr:x>0.63348</cdr:x>
      <cdr:y>0.11716</cdr:y>
    </cdr:to>
    <cdr:sp macro="" textlink="">
      <cdr:nvSpPr>
        <cdr:cNvPr id="2" name="TextBox 1"/>
        <cdr:cNvSpPr txBox="1"/>
      </cdr:nvSpPr>
      <cdr:spPr>
        <a:xfrm xmlns:a="http://schemas.openxmlformats.org/drawingml/2006/main">
          <a:off x="421993" y="66374"/>
          <a:ext cx="1927507" cy="178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Beds</a:t>
          </a:r>
          <a:r>
            <a:rPr lang="en-GB" sz="800" b="1" baseline="0"/>
            <a:t> occupied by COVID-19 patients</a:t>
          </a:r>
          <a:endParaRPr lang="en-GB" sz="800" b="1"/>
        </a:p>
      </cdr:txBody>
    </cdr:sp>
  </cdr:relSizeAnchor>
</c:userShapes>
</file>

<file path=xl/drawings/drawing13.xml><?xml version="1.0" encoding="utf-8"?>
<c:userShapes xmlns:c="http://schemas.openxmlformats.org/drawingml/2006/chart">
  <cdr:relSizeAnchor xmlns:cdr="http://schemas.openxmlformats.org/drawingml/2006/chartDrawing">
    <cdr:from>
      <cdr:x>0.11378</cdr:x>
      <cdr:y>0.03175</cdr:y>
    </cdr:from>
    <cdr:to>
      <cdr:x>0.63348</cdr:x>
      <cdr:y>0.11716</cdr:y>
    </cdr:to>
    <cdr:sp macro="" textlink="">
      <cdr:nvSpPr>
        <cdr:cNvPr id="2" name="TextBox 1"/>
        <cdr:cNvSpPr txBox="1"/>
      </cdr:nvSpPr>
      <cdr:spPr>
        <a:xfrm xmlns:a="http://schemas.openxmlformats.org/drawingml/2006/main">
          <a:off x="421993" y="66374"/>
          <a:ext cx="1927507" cy="178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Beds</a:t>
          </a:r>
          <a:r>
            <a:rPr lang="en-GB" sz="800" b="1" baseline="0"/>
            <a:t> occupied by COVID-19 patients</a:t>
          </a:r>
          <a:endParaRPr lang="en-GB" sz="800" b="1"/>
        </a:p>
      </cdr:txBody>
    </cdr:sp>
  </cdr:relSizeAnchor>
</c:userShapes>
</file>

<file path=xl/drawings/drawing14.xml><?xml version="1.0" encoding="utf-8"?>
<c:userShapes xmlns:c="http://schemas.openxmlformats.org/drawingml/2006/chart">
  <cdr:relSizeAnchor xmlns:cdr="http://schemas.openxmlformats.org/drawingml/2006/chartDrawing">
    <cdr:from>
      <cdr:x>0.11378</cdr:x>
      <cdr:y>0.03175</cdr:y>
    </cdr:from>
    <cdr:to>
      <cdr:x>0.63348</cdr:x>
      <cdr:y>0.11716</cdr:y>
    </cdr:to>
    <cdr:sp macro="" textlink="">
      <cdr:nvSpPr>
        <cdr:cNvPr id="2" name="TextBox 1"/>
        <cdr:cNvSpPr txBox="1"/>
      </cdr:nvSpPr>
      <cdr:spPr>
        <a:xfrm xmlns:a="http://schemas.openxmlformats.org/drawingml/2006/main">
          <a:off x="421993" y="66374"/>
          <a:ext cx="1927507" cy="178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baseline="0"/>
            <a:t>G&amp;A beds occupied by flu patients</a:t>
          </a:r>
          <a:endParaRPr lang="en-GB" sz="800" b="1"/>
        </a:p>
      </cdr:txBody>
    </cdr:sp>
  </cdr:relSizeAnchor>
</c:userShapes>
</file>

<file path=xl/drawings/drawing15.xml><?xml version="1.0" encoding="utf-8"?>
<c:userShapes xmlns:c="http://schemas.openxmlformats.org/drawingml/2006/chart">
  <cdr:relSizeAnchor xmlns:cdr="http://schemas.openxmlformats.org/drawingml/2006/chartDrawing">
    <cdr:from>
      <cdr:x>0.11378</cdr:x>
      <cdr:y>0.03175</cdr:y>
    </cdr:from>
    <cdr:to>
      <cdr:x>0.72398</cdr:x>
      <cdr:y>0.12584</cdr:y>
    </cdr:to>
    <cdr:sp macro="" textlink="">
      <cdr:nvSpPr>
        <cdr:cNvPr id="2" name="TextBox 1"/>
        <cdr:cNvSpPr txBox="1"/>
      </cdr:nvSpPr>
      <cdr:spPr>
        <a:xfrm xmlns:a="http://schemas.openxmlformats.org/drawingml/2006/main">
          <a:off x="421993" y="66373"/>
          <a:ext cx="2263150" cy="1966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baseline="0"/>
            <a:t>Critical care beds occupied by flu patients</a:t>
          </a:r>
          <a:endParaRPr lang="en-GB" sz="800" b="1"/>
        </a:p>
      </cdr:txBody>
    </cdr:sp>
  </cdr:relSizeAnchor>
</c:userShapes>
</file>

<file path=xl/drawings/drawing16.xml><?xml version="1.0" encoding="utf-8"?>
<c:userShapes xmlns:c="http://schemas.openxmlformats.org/drawingml/2006/chart">
  <cdr:relSizeAnchor xmlns:cdr="http://schemas.openxmlformats.org/drawingml/2006/chartDrawing">
    <cdr:from>
      <cdr:x>0.20428</cdr:x>
      <cdr:y>0</cdr:y>
    </cdr:from>
    <cdr:to>
      <cdr:x>0.82426</cdr:x>
      <cdr:y>0.08679</cdr:y>
    </cdr:to>
    <cdr:sp macro="" textlink="">
      <cdr:nvSpPr>
        <cdr:cNvPr id="2" name="TextBox 1"/>
        <cdr:cNvSpPr txBox="1"/>
      </cdr:nvSpPr>
      <cdr:spPr>
        <a:xfrm xmlns:a="http://schemas.openxmlformats.org/drawingml/2006/main">
          <a:off x="757635" y="0"/>
          <a:ext cx="2299435" cy="181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baseline="0"/>
            <a:t>Patients that no longer need to reside</a:t>
          </a:r>
        </a:p>
        <a:p xmlns:a="http://schemas.openxmlformats.org/drawingml/2006/main">
          <a:pPr algn="l"/>
          <a:endParaRPr lang="en-GB" sz="800" b="1"/>
        </a:p>
      </cdr:txBody>
    </cdr:sp>
  </cdr:relSizeAnchor>
</c:userShapes>
</file>

<file path=xl/drawings/drawing17.xml><?xml version="1.0" encoding="utf-8"?>
<c:userShapes xmlns:c="http://schemas.openxmlformats.org/drawingml/2006/chart">
  <cdr:relSizeAnchor xmlns:cdr="http://schemas.openxmlformats.org/drawingml/2006/chartDrawing">
    <cdr:from>
      <cdr:x>0.20428</cdr:x>
      <cdr:y>0</cdr:y>
    </cdr:from>
    <cdr:to>
      <cdr:x>0.82426</cdr:x>
      <cdr:y>0.08679</cdr:y>
    </cdr:to>
    <cdr:sp macro="" textlink="">
      <cdr:nvSpPr>
        <cdr:cNvPr id="2" name="TextBox 1"/>
        <cdr:cNvSpPr txBox="1"/>
      </cdr:nvSpPr>
      <cdr:spPr>
        <a:xfrm xmlns:a="http://schemas.openxmlformats.org/drawingml/2006/main">
          <a:off x="757635" y="0"/>
          <a:ext cx="2299435" cy="181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baseline="0"/>
            <a:t>Patients that no longer need to reside</a:t>
          </a:r>
        </a:p>
        <a:p xmlns:a="http://schemas.openxmlformats.org/drawingml/2006/main">
          <a:pPr algn="l"/>
          <a:endParaRPr lang="en-GB" sz="800" b="1"/>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0.07612</cdr:y>
    </cdr:from>
    <cdr:to>
      <cdr:x>0.32808</cdr:x>
      <cdr:y>0.21035</cdr:y>
    </cdr:to>
    <cdr:sp macro="" textlink="">
      <cdr:nvSpPr>
        <cdr:cNvPr id="2" name="TextBox 1"/>
        <cdr:cNvSpPr txBox="1"/>
      </cdr:nvSpPr>
      <cdr:spPr>
        <a:xfrm xmlns:a="http://schemas.openxmlformats.org/drawingml/2006/main">
          <a:off x="444928" y="143882"/>
          <a:ext cx="868598" cy="253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nnah Long" refreshedDate="44623.46072534722" createdVersion="7" refreshedVersion="7" minRefreshableVersion="3" recordCount="23" xr:uid="{EB880273-5A6C-40BA-828D-41F3A4EB04C8}">
  <cacheSource type="worksheet">
    <worksheetSource ref="A1:J1048576" sheet="COVID bed occ."/>
  </cacheSource>
  <cacheFields count="10">
    <cacheField name="Date" numFmtId="0">
      <sharedItems containsNonDate="0" containsDate="1" containsString="0" containsBlank="1" minDate="2021-11-29T00:00:00" maxDate="2021-12-06T00:00:00"/>
    </cacheField>
    <cacheField name="Week" numFmtId="0">
      <sharedItems containsBlank="1" count="5">
        <s v="Week 1"/>
        <m/>
        <s v="Week 2" u="1"/>
        <s v="Week 3" u="1"/>
        <s v="Week 4" u="1"/>
      </sharedItems>
    </cacheField>
    <cacheField name="ENGLAND" numFmtId="0">
      <sharedItems containsString="0" containsBlank="1" containsNumber="1" containsInteger="1" minValue="5784" maxValue="6123"/>
    </cacheField>
    <cacheField name="East of England" numFmtId="0">
      <sharedItems containsString="0" containsBlank="1" containsNumber="1" containsInteger="1" minValue="516" maxValue="588"/>
    </cacheField>
    <cacheField name="London" numFmtId="0">
      <sharedItems containsString="0" containsBlank="1" containsNumber="1" containsInteger="1" minValue="1057" maxValue="1099"/>
    </cacheField>
    <cacheField name="Midlands" numFmtId="0">
      <sharedItems containsString="0" containsBlank="1" containsNumber="1" containsInteger="1" minValue="1092" maxValue="1196"/>
    </cacheField>
    <cacheField name="North East and Yorkshire" numFmtId="0">
      <sharedItems containsString="0" containsBlank="1" containsNumber="1" containsInteger="1" minValue="933" maxValue="1091"/>
    </cacheField>
    <cacheField name="North West" numFmtId="0">
      <sharedItems containsString="0" containsBlank="1" containsNumber="1" containsInteger="1" minValue="764" maxValue="838"/>
    </cacheField>
    <cacheField name="South East" numFmtId="0">
      <sharedItems containsString="0" containsBlank="1" containsNumber="1" containsInteger="1" minValue="764" maxValue="850"/>
    </cacheField>
    <cacheField name="South West" numFmtId="0">
      <sharedItems containsString="0" containsBlank="1" containsNumber="1" containsInteger="1" minValue="542" maxValue="578"/>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21180559" createdVersion="4" refreshedVersion="7" minRefreshableVersion="3" recordCount="0" supportSubquery="1" supportAdvancedDrill="1" xr:uid="{00000000-000A-0000-FFFF-FFFF17010000}">
  <cacheSource type="external" connectionId="3"/>
  <cacheFields count="4">
    <cacheField name="[Winter daily sitreps].[Year].[Year]" caption="Year" numFmtId="0" hierarchy="77" level="1">
      <sharedItems containsSemiMixedTypes="0" containsString="0"/>
    </cacheField>
    <cacheField name="[Measures].[Sum of GA total beds avail]" caption="Sum of GA total beds avail" numFmtId="0" hierarchy="97" level="32767"/>
    <cacheField name="[Measures].[Sum of GA total beds occupied]" caption="Sum of GA total beds occupied" numFmtId="0" hierarchy="95" level="32767"/>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3"/>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oneField="1" hidden="1">
      <fieldsUsage count="1">
        <fieldUsage x="2"/>
      </fieldsUsage>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oneField="1" hidden="1">
      <fieldsUsage count="1">
        <fieldUsage x="1"/>
      </fieldsUsage>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23611114" createdVersion="4" refreshedVersion="7" minRefreshableVersion="3" recordCount="0" supportSubquery="1" supportAdvancedDrill="1" xr:uid="{00000000-000A-0000-FFFF-FFFF18010000}">
  <cacheSource type="external" connectionId="3"/>
  <cacheFields count="5">
    <cacheField name="[Winter daily sitreps].[Year].[Year]" caption="Year" numFmtId="0" hierarchy="77" level="1">
      <sharedItems containsSemiMixedTypes="0" containsString="0"/>
    </cacheField>
    <cacheField name="[Winter daily sitreps].[Name].[Name]" caption="Name" numFmtId="0" hierarchy="50" level="1">
      <sharedItems count="125">
        <s v="AIREDALE NHS FOUNDATION TRUST"/>
        <s v="ALDER HEY CHILDREN'S NHS FOUNDATION TRUST"/>
        <s v="ASHFORD AND ST. PETER'S HOSPITALS NHS FOUNDATION TRUST"/>
        <s v="BARKING, HAVERING AND REDBRIDGE UNIVERSITY HOSPITALS NHS TRUST"/>
        <s v="BARNSLEY HOSPITAL NHS FOUNDATION TRUST"/>
        <s v="BARTS HEALTH NHS TRUST"/>
        <s v="Bedfordshire Hospitals NHS Foundation Trust"/>
        <s v="BIRMINGHAM WOMEN'S AND CHILDREN'S NHS FOUNDATION TRUST"/>
        <s v="BLACKPOOL TEACHING HOSPITALS NHS FOUNDATION TRUST"/>
        <s v="BOLTON NHS FOUNDATION TRUST"/>
        <s v="BRADFORD TEACHING HOSPITALS NHS FOUNDATION TRUST"/>
        <s v="BUCKINGHAMSHIRE HEALTHCARE NHS TRUST"/>
        <s v="CALDERDALE AND HUDDERSFIELD NHS FOUNDATION TRUST"/>
        <s v="CAMBRIDGE UNIVERSITY HOSPITALS NHS FOUNDATION TRUST"/>
        <s v="CHELSEA AND WESTMINSTER HOSPITAL NHS FOUNDATION TRUST"/>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EAST AND NORTH HERTFORDSHIRE NHS TRUST"/>
        <s v="EAST CHESHIRE NHS TRUST"/>
        <s v="EAST KENT HOSPITALS UNIVERSITY NHS FOUNDATION TRUST"/>
        <s v="EAST LANCASHIRE HOSPITALS NHS TRUST"/>
        <s v="EAST SUFFOLK AND NORTH ESSEX NHS FOUNDATION TRUST"/>
        <s v="EAST SUSSEX HEALTHCARE NHS TRUST"/>
        <s v="EPSOM AND ST HELIER UNIVERSITY HOSPITALS NHS TRUST"/>
        <s v="FRIMLEY HEALTH NHS FOUNDATION TRUST"/>
        <s v="GATESHEAD HEALTH NHS FOUNDATION TRUST"/>
        <s v="GEORGE ELIOT HOSPITAL NHS TRUST"/>
        <s v="GLOUCESTERSHIRE HOSPITALS NHS FOUNDATION TRUST"/>
        <s v="GREAT WESTERN HOSPITALS NHS FOUNDATION TRUST"/>
        <s v="GUY'S AND ST THOMAS' NHS FOUNDATION TRUST"/>
        <s v="HAMPSHIRE HOSPITALS NHS FOUNDATION TRUST"/>
        <s v="HARROGATE AND DISTRICT NHS FOUNDATION TRUST"/>
        <s v="HOMERTON UNIVERSITY HOSPITAL NHS FOUNDATION TRUST"/>
        <s v="HULL UNIVERSITY TEACHING HOSPITALS NHS TRUST"/>
        <s v="IMPERIAL COLLEGE HEALTHCARE NHS TRUST"/>
        <s v="ISLE OF WIGHT NHS TRUST"/>
        <s v="JAMES PAGET UNIVERSITY HOSPITALS NHS FOUNDATION TRUST"/>
        <s v="KETTERING GENERAL HOSPITAL NHS FOUNDATION TRUST"/>
        <s v="KING'S COLLEGE HOSPITAL NHS FOUNDATION TRUST"/>
        <s v="KINGSTON HOSPITAL NHS FOUNDATION TRUST"/>
        <s v="LANCASHIRE TEACHING HOSPITALS NHS FOUNDATION TRUST"/>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ID AND SOUTH ESSEX NHS FOUNDATION TRUST"/>
        <s v="MID CHESHIRE HOSPITALS NHS FOUNDATION TRUST"/>
        <s v="MID YORKSHIRE HOSPITALS NHS TRUST"/>
        <s v="MILTON KEYNES UNIVERSITY HOSPITAL NHS FOUNDATION TRUST"/>
        <s v="NORFOLK AND NORWICH UNIVERSITY HOSPITALS NHS FOUNDATION TRUST"/>
        <s v="NORTH BRISTOL NHS TRUST"/>
        <s v="NORTH CUMBRIA INTEGRATED CARE NHS FOUNDATION TRUST"/>
        <s v="NORTH MIDDLESEX UNIVERSITY HOSPITAL NHS TRUST"/>
        <s v="NORTH TEES AND HARTLEPOOL NHS FOUNDATION TRUST"/>
        <s v="NORTH WEST ANGLIA NHS FOUNDATION TRUST"/>
        <s v="NORTHAMPTON GENERAL HOSPITAL NHS TRUST"/>
        <s v="NORTHERN CARE ALLIANCE NHS FOUNDATION TRUST"/>
        <s v="NORTHERN DEVON HEALTHCARE NHS TRUST"/>
        <s v="NORTHERN LINCOLNSHIRE AND GOOLE NHS FOUNDATION TRUST"/>
        <s v="NORTHUMBRIA HEALTHCARE NHS FOUNDATION TRUST"/>
        <s v="NOTTINGHAM UNIVERSITY HOSPITALS NHS TRUST"/>
        <s v="OXFORD UNIVERSITY HOSPITALS NHS FOUNDATION TRUST"/>
        <s v="PORTSMOUTH HOSPITALS UNIVERSITY NHS TRUST"/>
        <s v="ROYAL BERKSHIRE NHS FOUNDATION TRUST"/>
        <s v="ROYAL CORNWALL HOSPITALS NHS TRUST"/>
        <s v="ROYAL DEVON AND EXETER NHS FOUNDATION TRUST"/>
        <s v="ROYAL FREE LONDON NHS FOUNDATION TRUST"/>
        <s v="ROYAL SURREY COUNTY HOSPITAL NHS FOUNDATION TRUST"/>
        <s v="ROYAL UNITED HOSPITALS BATH NHS FOUNDATION TRUST"/>
        <s v="SALISBURY NHS FOUNDATION TRUST"/>
        <s v="SANDWELL AND WEST BIRMINGHAM HOSPITALS NHS TRUST"/>
        <s v="SHEFFIELD CHILDREN'S NHS FOUNDATION TRUST"/>
        <s v="SHEFFIELD TEACHING HOSPITALS NHS FOUNDATION TRUST"/>
        <s v="SHERWOOD FOREST HOSPITALS NHS FOUNDATION TRUST"/>
        <s v="SHREWSBURY AND TELFORD HOSPITAL NHS TRUST"/>
        <s v="SOMERSET NHS FOUNDATION TRUST"/>
        <s v="SOUTH TEES HOSPITALS NHS FOUNDATION TRUST"/>
        <s v="SOUTH TYNESIDE AND SUNDERLAND NHS FOUNDATION TRUST"/>
        <s v="SOUTH WARWICKSHIRE NHS FOUNDATION TRUST"/>
        <s v="SOUTHPORT AND ORMSKIRK HOSPITAL NHS TRUST"/>
        <s v="ST GEORGE'S UNIVERSITY HOSPITALS NHS FOUNDATION TRUST"/>
        <s v="ST HELENS AND KNOWSLEY HOSPITALS NHS TRUST"/>
        <s v="STOCKPORT NHS FOUNDATION TRUST"/>
        <s v="SURREY AND SUSSEX HEALTHCARE NHS TRUST"/>
        <s v="TAMESIDE AND GLOSSOP INTEGRATED CARE NHS FOUNDATION TRUST"/>
        <s v="THE DUDLEY GROUP NHS FOUNDATION TRUST"/>
        <s v="THE HILLINGDON HOSPITALS NHS FOUNDATION TRUST"/>
        <s v="THE NEWCASTLE UPON TYNE HOSPITALS NHS FOUNDATION TRUST"/>
        <s v="THE PRINCESS ALEXANDRA HOSPITAL NHS TRUST"/>
        <s v="THE QUEEN ELIZABETH HOSPITAL KING'S LYNN NHS FOUNDATION TRUST"/>
        <s v="THE ROTHERHAM NHS FOUNDATION TRUST"/>
        <s v="THE ROYAL WOLVERHAMPTON NHS TRUST"/>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Bristol and Weston NHS Foundation Trust"/>
        <s v="UNIVERSITY HOSPITALS COVENTRY AND WARWICKSHIRE NHS TRUST"/>
        <s v="UNIVERSITY HOSPITALS DORSET NHS FOUNDATION TRUST"/>
        <s v="UNIVERSITY HOSPITALS OF DERBY AND BURTON NHS FOUNDATION TRUST"/>
        <s v="UNIVERSITY HOSPITALS OF LEICESTER NHS TRUST"/>
        <s v="UNIVERSITY HOSPITALS OF MORECAMBE BAY NHS FOUNDATION TRUST"/>
        <s v="UNIVERSITY HOSPITALS OF NORTH MIDLANDS NHS TRUST"/>
        <s v="UNIVERSITY HOSPITALS PLYMOUTH NHS TRUST"/>
        <s v="UNIVERSITY HOSPITALS SUSSEX NHS FOUNDATION TRUST"/>
        <s v="WALSALL HEALTHCARE NHS TRUST"/>
        <s v="WARRINGTON AND HALTON TEACHING HOSPITALS NHS FOUNDATION TRUST"/>
        <s v="WEST HERTFORDSHIRE HOSPITALS NHS TRUST"/>
        <s v="WEST SUFFOLK NHS FOUNDATION TRUST"/>
        <s v="WHITTINGTON HEALTH NHS TRUST"/>
        <s v="WIRRAL UNIVERSITY TEACHING HOSPITAL NHS FOUNDATION TRUST"/>
        <s v="WORCESTERSHIRE ACUTE HOSPITALS NHS TRUST"/>
        <s v="WRIGHTINGTON, WIGAN AND LEIGH NHS FOUNDATION TRUST"/>
        <s v="WYE VALLEY NHS TRUST"/>
        <s v="YEOVIL DISTRICT HOSPITAL NHS FOUNDATION TRUST"/>
        <s v="YORK AND SCARBOROUGH TEACHING HOSPITALS NHS FOUNDATION TRUST"/>
      </sharedItems>
    </cacheField>
    <cacheField name="[Winter daily sitreps].[Day].[Day]" caption="Day" numFmtId="0" hierarchy="53" level="1">
      <sharedItems count="7">
        <s v="Friday"/>
        <s v="Monday"/>
        <s v="Saturday"/>
        <s v="Sunday"/>
        <s v="Thursday"/>
        <s v="Tuesday"/>
        <s v="Wednesday"/>
      </sharedItems>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Measures].[Average of GA bed occupancy]" caption="Average of GA bed occupancy" numFmtId="0" hierarchy="116"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2" memberValueDatatype="130" unbalanced="0">
      <fieldsUsage count="2">
        <fieldUsage x="-1"/>
        <fieldUsage x="1"/>
      </fieldsUsage>
    </cacheHierarchy>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2" memberValueDatatype="130" unbalanced="0">
      <fieldsUsage count="2">
        <fieldUsage x="-1"/>
        <fieldUsage x="2"/>
      </fieldsUsage>
    </cacheHierarchy>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oneField="1" hidden="1">
      <fieldsUsage count="1">
        <fieldUsage x="4"/>
      </fieldsUsage>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25694447" createdVersion="4" refreshedVersion="7" minRefreshableVersion="3" recordCount="0" supportSubquery="1" supportAdvancedDrill="1" xr:uid="{00000000-000A-0000-FFFF-FFFF04010000}">
  <cacheSource type="external" connectionId="3"/>
  <cacheFields count="5">
    <cacheField name="[Winter daily sitreps].[Year].[Year]" caption="Year" numFmtId="0" hierarchy="77" level="1">
      <sharedItems containsSemiMixedTypes="0" containsString="0"/>
    </cacheField>
    <cacheField name="[Measures].[Sum of GA total beds avail]" caption="Sum of GA total beds avail" numFmtId="0" hierarchy="97" level="32767"/>
    <cacheField name="[Measures].[Sum of GA total beds occupied]" caption="Sum of GA total beds occupied" numFmtId="0" hierarchy="95" level="32767"/>
    <cacheField name="[Winter daily sitreps].[Region].[Region]" caption="Region" numFmtId="0" hierarchy="76" level="1">
      <sharedItems count="7">
        <s v="East Of England"/>
        <s v="London"/>
        <s v="Midlands"/>
        <s v="North East and Yorkshire"/>
        <s v="North West"/>
        <s v="South East"/>
        <s v="South West"/>
      </sharedItems>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3"/>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4"/>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oneField="1" hidden="1">
      <fieldsUsage count="1">
        <fieldUsage x="2"/>
      </fieldsUsage>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oneField="1" hidden="1">
      <fieldsUsage count="1">
        <fieldUsage x="1"/>
      </fieldsUsage>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28009256" createdVersion="4" refreshedVersion="7" minRefreshableVersion="3" recordCount="0" supportSubquery="1" supportAdvancedDrill="1" xr:uid="{00000000-000A-0000-FFFF-FFFF06010000}">
  <cacheSource type="external" connectionId="3"/>
  <cacheFields count="4">
    <cacheField name="[Winter daily sitreps].[Year].[Year]" caption="Year" numFmtId="0" hierarchy="77" level="1">
      <sharedItems containsSemiMixedTypes="0" containsNonDate="0" containsString="0"/>
    </cacheField>
    <cacheField name="[Winter daily sitreps].[Region].[Region]" caption="Region" numFmtId="0" hierarchy="76" level="1">
      <sharedItems count="7">
        <s v="East Of England"/>
        <s v="London"/>
        <s v="Midlands"/>
        <s v="North East and Yorkshire"/>
        <s v="North West"/>
        <s v="South East"/>
        <s v="South West"/>
      </sharedItems>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Measures].[Sum of Beds occ over 21 days]" caption="Sum of Beds occ over 21 days" numFmtId="0" hierarchy="99"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1"/>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oneField="1" hidden="1">
      <fieldsUsage count="1">
        <fieldUsage x="3"/>
      </fieldsUsage>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30092596" createdVersion="4" refreshedVersion="7" minRefreshableVersion="3" recordCount="0" supportSubquery="1" supportAdvancedDrill="1" xr:uid="{00000000-000A-0000-FFFF-FFFF05010000}">
  <cacheSource type="external" connectionId="3"/>
  <cacheFields count="4">
    <cacheField name="[Winter daily sitreps].[Year].[Year]" caption="Year" numFmtId="0" hierarchy="77" level="1">
      <sharedItems containsSemiMixedTypes="0" containsNonDate="0" containsString="0"/>
    </cacheField>
    <cacheField name="[Winter daily sitreps].[Region].[Region]" caption="Region" numFmtId="0" hierarchy="76" level="1">
      <sharedItems count="7">
        <s v="East Of England"/>
        <s v="London"/>
        <s v="Midlands"/>
        <s v="North East and Yorkshire"/>
        <s v="North West"/>
        <s v="South East"/>
        <s v="South West"/>
      </sharedItems>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Measures].[Sum of Beds occ over 7 days]" caption="Sum of Beds occ over 7 days" numFmtId="0" hierarchy="98"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1"/>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oneField="1" hidden="1">
      <fieldsUsage count="1">
        <fieldUsage x="3"/>
      </fieldsUsage>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32407405" createdVersion="4" refreshedVersion="7" minRefreshableVersion="3" recordCount="0" supportSubquery="1" supportAdvancedDrill="1" xr:uid="{00000000-000A-0000-FFFF-FFFF07010000}">
  <cacheSource type="external" connectionId="3"/>
  <cacheFields count="4">
    <cacheField name="[Measures].[Sum of Beds occ over 14 days 2]" caption="Sum of Beds occ over 14 days 2" numFmtId="0" hierarchy="120" level="32767"/>
    <cacheField name="[Winter daily sitreps].[Year].[Year]" caption="Year" numFmtId="0" hierarchy="77" level="1">
      <sharedItems containsSemiMixedTypes="0" containsNonDate="0" containsString="0"/>
    </cacheField>
    <cacheField name="[Winter daily sitreps].[Region].[Region]" caption="Region" numFmtId="0" hierarchy="76" level="1">
      <sharedItems count="7">
        <s v="East Of England"/>
        <s v="London"/>
        <s v="Midlands"/>
        <s v="North East and Yorkshire"/>
        <s v="North West"/>
        <s v="South East"/>
        <s v="South West"/>
      </sharedItems>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1"/>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oneField="1" hidden="1">
      <fieldsUsage count="1">
        <fieldUsage x="0"/>
      </fieldsUsage>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34374999" createdVersion="4" refreshedVersion="7" minRefreshableVersion="3" recordCount="0" supportSubquery="1" supportAdvancedDrill="1" xr:uid="{00000000-000A-0000-FFFF-FFFF1B010000}">
  <cacheSource type="external" connectionId="3"/>
  <cacheFields count="3">
    <cacheField name="[Winter daily sitreps].[Year].[Year]" caption="Year" numFmtId="0" hierarchy="77" level="1">
      <sharedItems containsSemiMixedTypes="0" containsString="0"/>
    </cacheField>
    <cacheField name="[Winter daily sitreps].[Date].[Date]" caption="Date" numFmtId="0" hierarchy="51" level="1">
      <sharedItems containsSemiMixedTypes="0" containsNonDate="0" containsDate="1" containsString="0" minDate="2021-11-29T00:00:00" maxDate="2022-02-28T00:00:00" count="91">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sharedItems>
    </cacheField>
    <cacheField name="[Measures].[Sum of Beds closed norovirus]" caption="Sum of Beds closed norovirus" numFmtId="0" hierarchy="101"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oneField="1" hidden="1">
      <fieldsUsage count="1">
        <fieldUsage x="2"/>
      </fieldsUsage>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36805554" createdVersion="4" refreshedVersion="7" minRefreshableVersion="3" recordCount="0" supportSubquery="1" supportAdvancedDrill="1" xr:uid="{00000000-000A-0000-FFFF-FFFF01010000}">
  <cacheSource type="external" connectionId="3"/>
  <cacheFields count="4">
    <cacheField name="[Winter daily sitreps].[Year].[Year]" caption="Year" numFmtId="0" hierarchy="77" level="1">
      <sharedItems containsSemiMixedTypes="0" containsString="0"/>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Region].[Region]" caption="Region" numFmtId="0" hierarchy="76" level="1">
      <sharedItems count="7">
        <s v="East Of England"/>
        <s v="London"/>
        <s v="Midlands"/>
        <s v="North East and Yorkshire"/>
        <s v="North West"/>
        <s v="South East"/>
        <s v="South West"/>
      </sharedItems>
    </cacheField>
    <cacheField name="[Measures].[Sum of Beds closed norovius unocc]" caption="Sum of Beds closed norovius unocc" numFmtId="0" hierarchy="103"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oneField="1" hidden="1">
      <fieldsUsage count="1">
        <fieldUsage x="3"/>
      </fieldsUsage>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38657409" createdVersion="4" refreshedVersion="7" minRefreshableVersion="3" recordCount="0" supportSubquery="1" supportAdvancedDrill="1" xr:uid="{00000000-000A-0000-FFFF-FFFF1E010000}">
  <cacheSource type="external" connectionId="3"/>
  <cacheFields count="3">
    <cacheField name="[Winter daily sitreps].[Year].[Year]" caption="Year" numFmtId="0" hierarchy="77" level="1">
      <sharedItems containsSemiMixedTypes="0" containsString="0"/>
    </cacheField>
    <cacheField name="[Winter daily sitreps].[Date].[Date]" caption="Date" numFmtId="0" hierarchy="51" level="1">
      <sharedItems containsSemiMixedTypes="0" containsNonDate="0" containsDate="1" containsString="0" minDate="2021-11-29T00:00:00" maxDate="2022-02-28T00:00:00" count="91">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sharedItems>
    </cacheField>
    <cacheField name="[Measures].[Sum of Beds closed norovius unocc]" caption="Sum of Beds closed norovius unocc" numFmtId="0" hierarchy="103"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oneField="1" hidden="1">
      <fieldsUsage count="1">
        <fieldUsage x="2"/>
      </fieldsUsage>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40740741" createdVersion="4" refreshedVersion="7" minRefreshableVersion="3" recordCount="0" supportSubquery="1" supportAdvancedDrill="1" xr:uid="{00000000-000A-0000-FFFF-FFFF19010000}">
  <cacheSource type="external" connectionId="3"/>
  <cacheFields count="3">
    <cacheField name="[Winter daily sitreps].[Year].[Year]" caption="Year" numFmtId="0" hierarchy="77" level="1">
      <sharedItems containsSemiMixedTypes="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Beds closed norovirus]" caption="Sum of Beds closed norovirus" numFmtId="0" hierarchy="101"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oneField="1" hidden="1">
      <fieldsUsage count="1">
        <fieldUsage x="2"/>
      </fieldsUsage>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06597219" createdVersion="4" refreshedVersion="7" minRefreshableVersion="3" recordCount="0" supportSubquery="1" supportAdvancedDrill="1" xr:uid="{00000000-000A-0000-FFFF-FFFF13010000}">
  <cacheSource type="external" connectionId="3"/>
  <cacheFields count="3">
    <cacheField name="[Measures].[Sum of AE diverts]" caption="Sum of AE diverts" numFmtId="0" hierarchy="94" level="32767"/>
    <cacheField name="[Winter daily sitreps].[Year].[Year]" caption="Year" numFmtId="0" hierarchy="77" level="1">
      <sharedItems containsSemiMixedTypes="0" containsString="0"/>
    </cacheField>
    <cacheField name="[Winter daily sitreps].[Date].[Date]" caption="Date" numFmtId="0" hierarchy="51" level="1">
      <sharedItems containsSemiMixedTypes="0" containsNonDate="0" containsDate="1" containsString="0" minDate="2021-11-29T00:00:00" maxDate="2022-02-28T00:00:00" count="91">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1"/>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oneField="1" hidden="1">
      <fieldsUsage count="1">
        <fieldUsage x="0"/>
      </fieldsUsage>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42708335" createdVersion="4" refreshedVersion="7" minRefreshableVersion="3" recordCount="0" supportSubquery="1" supportAdvancedDrill="1" xr:uid="{00000000-000A-0000-FFFF-FFFF1D010000}">
  <cacheSource type="external" connectionId="3"/>
  <cacheFields count="4">
    <cacheField name="[Winter daily sitreps].[Year].[Year]" caption="Year" numFmtId="0" hierarchy="77" level="1">
      <sharedItems containsSemiMixedTypes="0" containsString="0"/>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Name].[Name]" caption="Name" numFmtId="0" hierarchy="50" level="1">
      <sharedItems count="125">
        <s v="AIREDALE NHS FOUNDATION TRUST"/>
        <s v="ALDER HEY CHILDREN'S NHS FOUNDATION TRUST"/>
        <s v="ASHFORD AND ST. PETER'S HOSPITALS NHS FOUNDATION TRUST"/>
        <s v="BARKING, HAVERING AND REDBRIDGE UNIVERSITY HOSPITALS NHS TRUST"/>
        <s v="BARNSLEY HOSPITAL NHS FOUNDATION TRUST"/>
        <s v="BARTS HEALTH NHS TRUST"/>
        <s v="Bedfordshire Hospitals NHS Foundation Trust"/>
        <s v="BIRMINGHAM WOMEN'S AND CHILDREN'S NHS FOUNDATION TRUST"/>
        <s v="BLACKPOOL TEACHING HOSPITALS NHS FOUNDATION TRUST"/>
        <s v="BOLTON NHS FOUNDATION TRUST"/>
        <s v="BRADFORD TEACHING HOSPITALS NHS FOUNDATION TRUST"/>
        <s v="BUCKINGHAMSHIRE HEALTHCARE NHS TRUST"/>
        <s v="CALDERDALE AND HUDDERSFIELD NHS FOUNDATION TRUST"/>
        <s v="CAMBRIDGE UNIVERSITY HOSPITALS NHS FOUNDATION TRUST"/>
        <s v="CHELSEA AND WESTMINSTER HOSPITAL NHS FOUNDATION TRUST"/>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EAST AND NORTH HERTFORDSHIRE NHS TRUST"/>
        <s v="EAST CHESHIRE NHS TRUST"/>
        <s v="EAST KENT HOSPITALS UNIVERSITY NHS FOUNDATION TRUST"/>
        <s v="EAST LANCASHIRE HOSPITALS NHS TRUST"/>
        <s v="EAST SUFFOLK AND NORTH ESSEX NHS FOUNDATION TRUST"/>
        <s v="EAST SUSSEX HEALTHCARE NHS TRUST"/>
        <s v="EPSOM AND ST HELIER UNIVERSITY HOSPITALS NHS TRUST"/>
        <s v="FRIMLEY HEALTH NHS FOUNDATION TRUST"/>
        <s v="GATESHEAD HEALTH NHS FOUNDATION TRUST"/>
        <s v="GEORGE ELIOT HOSPITAL NHS TRUST"/>
        <s v="GLOUCESTERSHIRE HOSPITALS NHS FOUNDATION TRUST"/>
        <s v="GREAT WESTERN HOSPITALS NHS FOUNDATION TRUST"/>
        <s v="GUY'S AND ST THOMAS' NHS FOUNDATION TRUST"/>
        <s v="HAMPSHIRE HOSPITALS NHS FOUNDATION TRUST"/>
        <s v="HARROGATE AND DISTRICT NHS FOUNDATION TRUST"/>
        <s v="HOMERTON UNIVERSITY HOSPITAL NHS FOUNDATION TRUST"/>
        <s v="HULL UNIVERSITY TEACHING HOSPITALS NHS TRUST"/>
        <s v="IMPERIAL COLLEGE HEALTHCARE NHS TRUST"/>
        <s v="ISLE OF WIGHT NHS TRUST"/>
        <s v="JAMES PAGET UNIVERSITY HOSPITALS NHS FOUNDATION TRUST"/>
        <s v="KETTERING GENERAL HOSPITAL NHS FOUNDATION TRUST"/>
        <s v="KING'S COLLEGE HOSPITAL NHS FOUNDATION TRUST"/>
        <s v="KINGSTON HOSPITAL NHS FOUNDATION TRUST"/>
        <s v="LANCASHIRE TEACHING HOSPITALS NHS FOUNDATION TRUST"/>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ID AND SOUTH ESSEX NHS FOUNDATION TRUST"/>
        <s v="MID CHESHIRE HOSPITALS NHS FOUNDATION TRUST"/>
        <s v="MID YORKSHIRE HOSPITALS NHS TRUST"/>
        <s v="MILTON KEYNES UNIVERSITY HOSPITAL NHS FOUNDATION TRUST"/>
        <s v="NORFOLK AND NORWICH UNIVERSITY HOSPITALS NHS FOUNDATION TRUST"/>
        <s v="NORTH BRISTOL NHS TRUST"/>
        <s v="NORTH CUMBRIA INTEGRATED CARE NHS FOUNDATION TRUST"/>
        <s v="NORTH MIDDLESEX UNIVERSITY HOSPITAL NHS TRUST"/>
        <s v="NORTH TEES AND HARTLEPOOL NHS FOUNDATION TRUST"/>
        <s v="NORTH WEST ANGLIA NHS FOUNDATION TRUST"/>
        <s v="NORTHAMPTON GENERAL HOSPITAL NHS TRUST"/>
        <s v="NORTHERN CARE ALLIANCE NHS FOUNDATION TRUST"/>
        <s v="NORTHERN DEVON HEALTHCARE NHS TRUST"/>
        <s v="NORTHERN LINCOLNSHIRE AND GOOLE NHS FOUNDATION TRUST"/>
        <s v="NORTHUMBRIA HEALTHCARE NHS FOUNDATION TRUST"/>
        <s v="NOTTINGHAM UNIVERSITY HOSPITALS NHS TRUST"/>
        <s v="OXFORD UNIVERSITY HOSPITALS NHS FOUNDATION TRUST"/>
        <s v="PORTSMOUTH HOSPITALS UNIVERSITY NHS TRUST"/>
        <s v="ROYAL BERKSHIRE NHS FOUNDATION TRUST"/>
        <s v="ROYAL CORNWALL HOSPITALS NHS TRUST"/>
        <s v="ROYAL DEVON AND EXETER NHS FOUNDATION TRUST"/>
        <s v="ROYAL FREE LONDON NHS FOUNDATION TRUST"/>
        <s v="ROYAL SURREY COUNTY HOSPITAL NHS FOUNDATION TRUST"/>
        <s v="ROYAL UNITED HOSPITALS BATH NHS FOUNDATION TRUST"/>
        <s v="SALISBURY NHS FOUNDATION TRUST"/>
        <s v="SANDWELL AND WEST BIRMINGHAM HOSPITALS NHS TRUST"/>
        <s v="SHEFFIELD CHILDREN'S NHS FOUNDATION TRUST"/>
        <s v="SHEFFIELD TEACHING HOSPITALS NHS FOUNDATION TRUST"/>
        <s v="SHERWOOD FOREST HOSPITALS NHS FOUNDATION TRUST"/>
        <s v="SHREWSBURY AND TELFORD HOSPITAL NHS TRUST"/>
        <s v="SOMERSET NHS FOUNDATION TRUST"/>
        <s v="SOUTH TEES HOSPITALS NHS FOUNDATION TRUST"/>
        <s v="SOUTH TYNESIDE AND SUNDERLAND NHS FOUNDATION TRUST"/>
        <s v="SOUTH WARWICKSHIRE NHS FOUNDATION TRUST"/>
        <s v="SOUTHPORT AND ORMSKIRK HOSPITAL NHS TRUST"/>
        <s v="ST GEORGE'S UNIVERSITY HOSPITALS NHS FOUNDATION TRUST"/>
        <s v="ST HELENS AND KNOWSLEY HOSPITALS NHS TRUST"/>
        <s v="STOCKPORT NHS FOUNDATION TRUST"/>
        <s v="SURREY AND SUSSEX HEALTHCARE NHS TRUST"/>
        <s v="TAMESIDE AND GLOSSOP INTEGRATED CARE NHS FOUNDATION TRUST"/>
        <s v="THE DUDLEY GROUP NHS FOUNDATION TRUST"/>
        <s v="THE HILLINGDON HOSPITALS NHS FOUNDATION TRUST"/>
        <s v="THE NEWCASTLE UPON TYNE HOSPITALS NHS FOUNDATION TRUST"/>
        <s v="THE PRINCESS ALEXANDRA HOSPITAL NHS TRUST"/>
        <s v="THE QUEEN ELIZABETH HOSPITAL KING'S LYNN NHS FOUNDATION TRUST"/>
        <s v="THE ROTHERHAM NHS FOUNDATION TRUST"/>
        <s v="THE ROYAL WOLVERHAMPTON NHS TRUST"/>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Bristol and Weston NHS Foundation Trust"/>
        <s v="UNIVERSITY HOSPITALS COVENTRY AND WARWICKSHIRE NHS TRUST"/>
        <s v="UNIVERSITY HOSPITALS DORSET NHS FOUNDATION TRUST"/>
        <s v="UNIVERSITY HOSPITALS OF DERBY AND BURTON NHS FOUNDATION TRUST"/>
        <s v="UNIVERSITY HOSPITALS OF LEICESTER NHS TRUST"/>
        <s v="UNIVERSITY HOSPITALS OF MORECAMBE BAY NHS FOUNDATION TRUST"/>
        <s v="UNIVERSITY HOSPITALS OF NORTH MIDLANDS NHS TRUST"/>
        <s v="UNIVERSITY HOSPITALS PLYMOUTH NHS TRUST"/>
        <s v="UNIVERSITY HOSPITALS SUSSEX NHS FOUNDATION TRUST"/>
        <s v="WALSALL HEALTHCARE NHS TRUST"/>
        <s v="WARRINGTON AND HALTON TEACHING HOSPITALS NHS FOUNDATION TRUST"/>
        <s v="WEST HERTFORDSHIRE HOSPITALS NHS TRUST"/>
        <s v="WEST SUFFOLK NHS FOUNDATION TRUST"/>
        <s v="WHITTINGTON HEALTH NHS TRUST"/>
        <s v="WIRRAL UNIVERSITY TEACHING HOSPITAL NHS FOUNDATION TRUST"/>
        <s v="WORCESTERSHIRE ACUTE HOSPITALS NHS TRUST"/>
        <s v="WRIGHTINGTON, WIGAN AND LEIGH NHS FOUNDATION TRUST"/>
        <s v="WYE VALLEY NHS TRUST"/>
        <s v="YEOVIL DISTRICT HOSPITAL NHS FOUNDATION TRUST"/>
        <s v="YORK AND SCARBOROUGH TEACHING HOSPITALS NHS FOUNDATION TRUST"/>
      </sharedItems>
    </cacheField>
    <cacheField name="[Measures].[Sum of Beds closed norovius unocc]" caption="Sum of Beds closed norovius unocc" numFmtId="0" hierarchy="103"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2" memberValueDatatype="130" unbalanced="0">
      <fieldsUsage count="2">
        <fieldUsage x="-1"/>
        <fieldUsage x="2"/>
      </fieldsUsage>
    </cacheHierarchy>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oneField="1" hidden="1">
      <fieldsUsage count="1">
        <fieldUsage x="3"/>
      </fieldsUsage>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44444444" createdVersion="4" refreshedVersion="7" minRefreshableVersion="3" recordCount="0" supportSubquery="1" supportAdvancedDrill="1" xr:uid="{00000000-000A-0000-FFFF-FFFF1C010000}">
  <cacheSource type="external" connectionId="3"/>
  <cacheFields count="3">
    <cacheField name="[Winter daily sitreps].[Year].[Year]" caption="Year" numFmtId="0" hierarchy="77" level="1">
      <sharedItems containsSemiMixedTypes="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Beds closed norovius unocc]" caption="Sum of Beds closed norovius unocc" numFmtId="0" hierarchy="103"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oneField="1" hidden="1">
      <fieldsUsage count="1">
        <fieldUsage x="2"/>
      </fieldsUsage>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46180553" createdVersion="4" refreshedVersion="7" minRefreshableVersion="3" recordCount="0" supportSubquery="1" supportAdvancedDrill="1" xr:uid="{00000000-000A-0000-FFFF-FFFF08010000}">
  <cacheSource type="external" connectionId="3"/>
  <cacheFields count="4">
    <cacheField name="[Winter daily sitreps].[Year].[Year]" caption="Year" numFmtId="0" hierarchy="77" level="1">
      <sharedItems containsSemiMixedTypes="0" containsString="0"/>
    </cacheField>
    <cacheField name="[Measures].[Sum of Beds closed norovirus]" caption="Sum of Beds closed norovirus" numFmtId="0" hierarchy="101" level="32767"/>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Region].[Region]" caption="Region" numFmtId="0" hierarchy="76" level="1">
      <sharedItems count="7">
        <s v="East Of England"/>
        <s v="London"/>
        <s v="Midlands"/>
        <s v="North East and Yorkshire"/>
        <s v="North West"/>
        <s v="South East"/>
        <s v="South West"/>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3"/>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oneField="1" hidden="1">
      <fieldsUsage count="1">
        <fieldUsage x="1"/>
      </fieldsUsage>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48379631" createdVersion="4" refreshedVersion="7" minRefreshableVersion="3" recordCount="0" supportSubquery="1" supportAdvancedDrill="1" xr:uid="{00000000-000A-0000-FFFF-FFFF1A010000}">
  <cacheSource type="external" connectionId="3"/>
  <cacheFields count="4">
    <cacheField name="[Winter daily sitreps].[Year].[Year]" caption="Year" numFmtId="0" hierarchy="77" level="1">
      <sharedItems containsSemiMixedTypes="0" containsString="0"/>
    </cacheField>
    <cacheField name="[Measures].[Sum of Beds closed norovirus]" caption="Sum of Beds closed norovirus" numFmtId="0" hierarchy="101" level="32767"/>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Name].[Name]" caption="Name" numFmtId="0" hierarchy="50" level="1">
      <sharedItems count="125">
        <s v="AIREDALE NHS FOUNDATION TRUST"/>
        <s v="ALDER HEY CHILDREN'S NHS FOUNDATION TRUST"/>
        <s v="ASHFORD AND ST. PETER'S HOSPITALS NHS FOUNDATION TRUST"/>
        <s v="BARKING, HAVERING AND REDBRIDGE UNIVERSITY HOSPITALS NHS TRUST"/>
        <s v="BARNSLEY HOSPITAL NHS FOUNDATION TRUST"/>
        <s v="BARTS HEALTH NHS TRUST"/>
        <s v="Bedfordshire Hospitals NHS Foundation Trust"/>
        <s v="BIRMINGHAM WOMEN'S AND CHILDREN'S NHS FOUNDATION TRUST"/>
        <s v="BLACKPOOL TEACHING HOSPITALS NHS FOUNDATION TRUST"/>
        <s v="BOLTON NHS FOUNDATION TRUST"/>
        <s v="BRADFORD TEACHING HOSPITALS NHS FOUNDATION TRUST"/>
        <s v="BUCKINGHAMSHIRE HEALTHCARE NHS TRUST"/>
        <s v="CALDERDALE AND HUDDERSFIELD NHS FOUNDATION TRUST"/>
        <s v="CAMBRIDGE UNIVERSITY HOSPITALS NHS FOUNDATION TRUST"/>
        <s v="CHELSEA AND WESTMINSTER HOSPITAL NHS FOUNDATION TRUST"/>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EAST AND NORTH HERTFORDSHIRE NHS TRUST"/>
        <s v="EAST CHESHIRE NHS TRUST"/>
        <s v="EAST KENT HOSPITALS UNIVERSITY NHS FOUNDATION TRUST"/>
        <s v="EAST LANCASHIRE HOSPITALS NHS TRUST"/>
        <s v="EAST SUFFOLK AND NORTH ESSEX NHS FOUNDATION TRUST"/>
        <s v="EAST SUSSEX HEALTHCARE NHS TRUST"/>
        <s v="EPSOM AND ST HELIER UNIVERSITY HOSPITALS NHS TRUST"/>
        <s v="FRIMLEY HEALTH NHS FOUNDATION TRUST"/>
        <s v="GATESHEAD HEALTH NHS FOUNDATION TRUST"/>
        <s v="GEORGE ELIOT HOSPITAL NHS TRUST"/>
        <s v="GLOUCESTERSHIRE HOSPITALS NHS FOUNDATION TRUST"/>
        <s v="GREAT WESTERN HOSPITALS NHS FOUNDATION TRUST"/>
        <s v="GUY'S AND ST THOMAS' NHS FOUNDATION TRUST"/>
        <s v="HAMPSHIRE HOSPITALS NHS FOUNDATION TRUST"/>
        <s v="HARROGATE AND DISTRICT NHS FOUNDATION TRUST"/>
        <s v="HOMERTON UNIVERSITY HOSPITAL NHS FOUNDATION TRUST"/>
        <s v="HULL UNIVERSITY TEACHING HOSPITALS NHS TRUST"/>
        <s v="IMPERIAL COLLEGE HEALTHCARE NHS TRUST"/>
        <s v="ISLE OF WIGHT NHS TRUST"/>
        <s v="JAMES PAGET UNIVERSITY HOSPITALS NHS FOUNDATION TRUST"/>
        <s v="KETTERING GENERAL HOSPITAL NHS FOUNDATION TRUST"/>
        <s v="KING'S COLLEGE HOSPITAL NHS FOUNDATION TRUST"/>
        <s v="KINGSTON HOSPITAL NHS FOUNDATION TRUST"/>
        <s v="LANCASHIRE TEACHING HOSPITALS NHS FOUNDATION TRUST"/>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ID AND SOUTH ESSEX NHS FOUNDATION TRUST"/>
        <s v="MID CHESHIRE HOSPITALS NHS FOUNDATION TRUST"/>
        <s v="MID YORKSHIRE HOSPITALS NHS TRUST"/>
        <s v="MILTON KEYNES UNIVERSITY HOSPITAL NHS FOUNDATION TRUST"/>
        <s v="NORFOLK AND NORWICH UNIVERSITY HOSPITALS NHS FOUNDATION TRUST"/>
        <s v="NORTH BRISTOL NHS TRUST"/>
        <s v="NORTH CUMBRIA INTEGRATED CARE NHS FOUNDATION TRUST"/>
        <s v="NORTH MIDDLESEX UNIVERSITY HOSPITAL NHS TRUST"/>
        <s v="NORTH TEES AND HARTLEPOOL NHS FOUNDATION TRUST"/>
        <s v="NORTH WEST ANGLIA NHS FOUNDATION TRUST"/>
        <s v="NORTHAMPTON GENERAL HOSPITAL NHS TRUST"/>
        <s v="NORTHERN CARE ALLIANCE NHS FOUNDATION TRUST"/>
        <s v="NORTHERN DEVON HEALTHCARE NHS TRUST"/>
        <s v="NORTHERN LINCOLNSHIRE AND GOOLE NHS FOUNDATION TRUST"/>
        <s v="NORTHUMBRIA HEALTHCARE NHS FOUNDATION TRUST"/>
        <s v="NOTTINGHAM UNIVERSITY HOSPITALS NHS TRUST"/>
        <s v="OXFORD UNIVERSITY HOSPITALS NHS FOUNDATION TRUST"/>
        <s v="PORTSMOUTH HOSPITALS UNIVERSITY NHS TRUST"/>
        <s v="ROYAL BERKSHIRE NHS FOUNDATION TRUST"/>
        <s v="ROYAL CORNWALL HOSPITALS NHS TRUST"/>
        <s v="ROYAL DEVON AND EXETER NHS FOUNDATION TRUST"/>
        <s v="ROYAL FREE LONDON NHS FOUNDATION TRUST"/>
        <s v="ROYAL SURREY COUNTY HOSPITAL NHS FOUNDATION TRUST"/>
        <s v="ROYAL UNITED HOSPITALS BATH NHS FOUNDATION TRUST"/>
        <s v="SALISBURY NHS FOUNDATION TRUST"/>
        <s v="SANDWELL AND WEST BIRMINGHAM HOSPITALS NHS TRUST"/>
        <s v="SHEFFIELD CHILDREN'S NHS FOUNDATION TRUST"/>
        <s v="SHEFFIELD TEACHING HOSPITALS NHS FOUNDATION TRUST"/>
        <s v="SHERWOOD FOREST HOSPITALS NHS FOUNDATION TRUST"/>
        <s v="SHREWSBURY AND TELFORD HOSPITAL NHS TRUST"/>
        <s v="SOMERSET NHS FOUNDATION TRUST"/>
        <s v="SOUTH TEES HOSPITALS NHS FOUNDATION TRUST"/>
        <s v="SOUTH TYNESIDE AND SUNDERLAND NHS FOUNDATION TRUST"/>
        <s v="SOUTH WARWICKSHIRE NHS FOUNDATION TRUST"/>
        <s v="SOUTHPORT AND ORMSKIRK HOSPITAL NHS TRUST"/>
        <s v="ST GEORGE'S UNIVERSITY HOSPITALS NHS FOUNDATION TRUST"/>
        <s v="ST HELENS AND KNOWSLEY HOSPITALS NHS TRUST"/>
        <s v="STOCKPORT NHS FOUNDATION TRUST"/>
        <s v="SURREY AND SUSSEX HEALTHCARE NHS TRUST"/>
        <s v="TAMESIDE AND GLOSSOP INTEGRATED CARE NHS FOUNDATION TRUST"/>
        <s v="THE DUDLEY GROUP NHS FOUNDATION TRUST"/>
        <s v="THE HILLINGDON HOSPITALS NHS FOUNDATION TRUST"/>
        <s v="THE NEWCASTLE UPON TYNE HOSPITALS NHS FOUNDATION TRUST"/>
        <s v="THE PRINCESS ALEXANDRA HOSPITAL NHS TRUST"/>
        <s v="THE QUEEN ELIZABETH HOSPITAL KING'S LYNN NHS FOUNDATION TRUST"/>
        <s v="THE ROTHERHAM NHS FOUNDATION TRUST"/>
        <s v="THE ROYAL WOLVERHAMPTON NHS TRUST"/>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Bristol and Weston NHS Foundation Trust"/>
        <s v="UNIVERSITY HOSPITALS COVENTRY AND WARWICKSHIRE NHS TRUST"/>
        <s v="UNIVERSITY HOSPITALS DORSET NHS FOUNDATION TRUST"/>
        <s v="UNIVERSITY HOSPITALS OF DERBY AND BURTON NHS FOUNDATION TRUST"/>
        <s v="UNIVERSITY HOSPITALS OF LEICESTER NHS TRUST"/>
        <s v="UNIVERSITY HOSPITALS OF MORECAMBE BAY NHS FOUNDATION TRUST"/>
        <s v="UNIVERSITY HOSPITALS OF NORTH MIDLANDS NHS TRUST"/>
        <s v="UNIVERSITY HOSPITALS PLYMOUTH NHS TRUST"/>
        <s v="UNIVERSITY HOSPITALS SUSSEX NHS FOUNDATION TRUST"/>
        <s v="WALSALL HEALTHCARE NHS TRUST"/>
        <s v="WARRINGTON AND HALTON TEACHING HOSPITALS NHS FOUNDATION TRUST"/>
        <s v="WEST HERTFORDSHIRE HOSPITALS NHS TRUST"/>
        <s v="WEST SUFFOLK NHS FOUNDATION TRUST"/>
        <s v="WHITTINGTON HEALTH NHS TRUST"/>
        <s v="WIRRAL UNIVERSITY TEACHING HOSPITAL NHS FOUNDATION TRUST"/>
        <s v="WORCESTERSHIRE ACUTE HOSPITALS NHS TRUST"/>
        <s v="WRIGHTINGTON, WIGAN AND LEIGH NHS FOUNDATION TRUST"/>
        <s v="WYE VALLEY NHS TRUST"/>
        <s v="YEOVIL DISTRICT HOSPITAL NHS FOUNDATION TRUST"/>
        <s v="YORK AND SCARBOROUGH TEACHING HOSPITALS NHS FOUNDATION TRUST"/>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2" memberValueDatatype="130" unbalanced="0">
      <fieldsUsage count="2">
        <fieldUsage x="-1"/>
        <fieldUsage x="3"/>
      </fieldsUsage>
    </cacheHierarchy>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oneField="1" hidden="1">
      <fieldsUsage count="1">
        <fieldUsage x="1"/>
      </fieldsUsage>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50462963" createdVersion="4" refreshedVersion="7" minRefreshableVersion="3" recordCount="0" supportSubquery="1" supportAdvancedDrill="1" xr:uid="{00000000-000A-0000-FFFF-FFFF0A010000}">
  <cacheSource type="external" connectionId="3"/>
  <cacheFields count="5">
    <cacheField name="[Winter daily sitreps].[Year].[Year]" caption="Year" numFmtId="0" hierarchy="77" level="1">
      <sharedItems containsSemiMixedTypes="0" containsString="0"/>
    </cacheField>
    <cacheField name="[Measures].[Sum of Adult CC beds avail]" caption="Sum of Adult CC beds avail" numFmtId="0" hierarchy="107" level="32767"/>
    <cacheField name="[Measures].[Sum of Adult CC beds occ]" caption="Sum of Adult CC beds occ" numFmtId="0" hierarchy="108" level="32767"/>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Region].[Region]" caption="Region" numFmtId="0" hierarchy="76" level="1">
      <sharedItems count="7">
        <s v="East Of England"/>
        <s v="London"/>
        <s v="Midlands"/>
        <s v="North East and Yorkshire"/>
        <s v="North West"/>
        <s v="South East"/>
        <s v="South West"/>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4"/>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oneField="1" hidden="1">
      <fieldsUsage count="1">
        <fieldUsage x="1"/>
      </fieldsUsage>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oneField="1" hidden="1">
      <fieldsUsage count="1">
        <fieldUsage x="2"/>
      </fieldsUsage>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52546295" createdVersion="4" refreshedVersion="7" minRefreshableVersion="3" recordCount="0" supportSubquery="1" supportAdvancedDrill="1" xr:uid="{00000000-000A-0000-FFFF-FFFF09010000}">
  <cacheSource type="external" connectionId="3"/>
  <cacheFields count="5">
    <cacheField name="[Winter daily sitreps].[Year].[Year]" caption="Year" numFmtId="0" hierarchy="77" level="1">
      <sharedItems containsSemiMixedTypes="0" containsString="0"/>
    </cacheField>
    <cacheField name="[Measures].[Sum of Adult CC beds avail]" caption="Sum of Adult CC beds avail" numFmtId="0" hierarchy="107" level="32767"/>
    <cacheField name="[Measures].[Sum of Adult CC beds occ]" caption="Sum of Adult CC beds occ" numFmtId="0" hierarchy="108" level="32767"/>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Region].[Region]" caption="Region" numFmtId="0" hierarchy="76" level="1">
      <sharedItems count="7">
        <s v="East Of England"/>
        <s v="London"/>
        <s v="Midlands"/>
        <s v="North East and Yorkshire"/>
        <s v="North West"/>
        <s v="South East"/>
        <s v="South West"/>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4"/>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oneField="1" hidden="1">
      <fieldsUsage count="1">
        <fieldUsage x="1"/>
      </fieldsUsage>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oneField="1" hidden="1">
      <fieldsUsage count="1">
        <fieldUsage x="2"/>
      </fieldsUsage>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54513889" createdVersion="4" refreshedVersion="7" minRefreshableVersion="3" recordCount="0" supportSubquery="1" supportAdvancedDrill="1" xr:uid="{00000000-000A-0000-FFFF-FFFF1F010000}">
  <cacheSource type="external" connectionId="3"/>
  <cacheFields count="4">
    <cacheField name="[Winter daily sitreps].[Year].[Year]" caption="Year" numFmtId="0" hierarchy="77" level="1">
      <sharedItems containsSemiMixedTypes="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Adult CC beds avail]" caption="Sum of Adult CC beds avail" numFmtId="0" hierarchy="107" level="32767"/>
    <cacheField name="[Measures].[Sum of Adult CC beds occ]" caption="Sum of Adult CC beds occ" numFmtId="0" hierarchy="108"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oneField="1" hidden="1">
      <fieldsUsage count="1">
        <fieldUsage x="2"/>
      </fieldsUsage>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oneField="1" hidden="1">
      <fieldsUsage count="1">
        <fieldUsage x="3"/>
      </fieldsUsage>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56481483" createdVersion="4" refreshedVersion="7" minRefreshableVersion="3" recordCount="0" supportSubquery="1" supportAdvancedDrill="1" xr:uid="{00000000-000A-0000-FFFF-FFFF20010000}">
  <cacheSource type="external" connectionId="3"/>
  <cacheFields count="4">
    <cacheField name="[Winter daily sitreps].[Year].[Year]" caption="Year" numFmtId="0" hierarchy="77" level="1">
      <sharedItems containsSemiMixedTypes="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Adult CC beds avail]" caption="Sum of Adult CC beds avail" numFmtId="0" hierarchy="107" level="32767"/>
    <cacheField name="[Measures].[Sum of Adult CC beds occ]" caption="Sum of Adult CC beds occ" numFmtId="0" hierarchy="108"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oneField="1" hidden="1">
      <fieldsUsage count="1">
        <fieldUsage x="2"/>
      </fieldsUsage>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oneField="1" hidden="1">
      <fieldsUsage count="1">
        <fieldUsage x="3"/>
      </fieldsUsage>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58564815" createdVersion="4" refreshedVersion="7" minRefreshableVersion="3" recordCount="0" supportSubquery="1" supportAdvancedDrill="1" xr:uid="{00000000-000A-0000-FFFF-FFFF0B010000}">
  <cacheSource type="external" connectionId="3"/>
  <cacheFields count="5">
    <cacheField name="[Winter daily sitreps].[Year].[Year]" caption="Year" numFmtId="0" hierarchy="77" level="1">
      <sharedItems containsSemiMixedTypes="0" containsString="0"/>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Region].[Region]" caption="Region" numFmtId="0" hierarchy="76" level="1">
      <sharedItems count="7">
        <s v="East Of England"/>
        <s v="London"/>
        <s v="Midlands"/>
        <s v="North East and Yorkshire"/>
        <s v="North West"/>
        <s v="South East"/>
        <s v="South West"/>
      </sharedItems>
    </cacheField>
    <cacheField name="[Measures].[Sum of Paed Int Care Avail]" caption="Sum of Paed Int Care Avail" numFmtId="0" hierarchy="109" level="32767"/>
    <cacheField name="[Measures].[Sum of Paed Int Care Occ]" caption="Sum of Paed Int Care Occ" numFmtId="0" hierarchy="110"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oneField="1" hidden="1">
      <fieldsUsage count="1">
        <fieldUsage x="3"/>
      </fieldsUsage>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oneField="1" hidden="1">
      <fieldsUsage count="1">
        <fieldUsage x="4"/>
      </fieldsUsage>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60532408" createdVersion="4" refreshedVersion="7" minRefreshableVersion="3" recordCount="0" supportSubquery="1" supportAdvancedDrill="1" xr:uid="{00000000-000A-0000-FFFF-FFFF21010000}">
  <cacheSource type="external" connectionId="3"/>
  <cacheFields count="4">
    <cacheField name="[Winter daily sitreps].[Year].[Year]" caption="Year" numFmtId="0" hierarchy="77" level="1">
      <sharedItems containsSemiMixedTypes="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Paed Int Care Avail]" caption="Sum of Paed Int Care Avail" numFmtId="0" hierarchy="109" level="32767"/>
    <cacheField name="[Measures].[Sum of Paed Int Care Occ]" caption="Sum of Paed Int Care Occ" numFmtId="0" hierarchy="110"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oneField="1" hidden="1">
      <fieldsUsage count="1">
        <fieldUsage x="2"/>
      </fieldsUsage>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oneField="1" hidden="1">
      <fieldsUsage count="1">
        <fieldUsage x="3"/>
      </fieldsUsage>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08449074" createdVersion="4" refreshedVersion="7" minRefreshableVersion="3" recordCount="0" supportSubquery="1" supportAdvancedDrill="1" xr:uid="{00000000-000A-0000-FFFF-FFFF12010000}">
  <cacheSource type="external" connectionId="3"/>
  <cacheFields count="3">
    <cacheField name="[Measures].[Sum of AE diverts]" caption="Sum of AE diverts" numFmtId="0" hierarchy="94" level="32767"/>
    <cacheField name="[Winter daily sitreps].[Year].[Year]" caption="Year" numFmtId="0" hierarchy="77" level="1">
      <sharedItems containsSemiMixedTypes="0" containsString="0"/>
    </cacheField>
    <cacheField name="[Winter daily sitreps].[Date].[Date]" caption="Date" numFmtId="0" hierarchy="51" level="1">
      <sharedItems containsSemiMixedTypes="0" containsNonDate="0" containsDate="1" containsString="0" minDate="2021-11-29T00:00:00" maxDate="2022-02-28T00:00:00" count="91">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1"/>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oneField="1" hidden="1">
      <fieldsUsage count="1">
        <fieldUsage x="0"/>
      </fieldsUsage>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62615741" createdVersion="4" refreshedVersion="7" minRefreshableVersion="3" recordCount="0" supportSubquery="1" supportAdvancedDrill="1" xr:uid="{00000000-000A-0000-FFFF-FFFF0C010000}">
  <cacheSource type="external" connectionId="3"/>
  <cacheFields count="5">
    <cacheField name="[Winter daily sitreps].[Year].[Year]" caption="Year" numFmtId="0" hierarchy="77" level="1">
      <sharedItems containsSemiMixedTypes="0" containsString="0"/>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Region].[Region]" caption="Region" numFmtId="0" hierarchy="76" level="1">
      <sharedItems count="7">
        <s v="East Of England"/>
        <s v="London"/>
        <s v="Midlands"/>
        <s v="North East and Yorkshire"/>
        <s v="North West"/>
        <s v="South East"/>
        <s v="South West"/>
      </sharedItems>
    </cacheField>
    <cacheField name="[Measures].[Sum of Paed Int Care Avail]" caption="Sum of Paed Int Care Avail" numFmtId="0" hierarchy="109" level="32767"/>
    <cacheField name="[Measures].[Sum of Paed Int Care Occ]" caption="Sum of Paed Int Care Occ" numFmtId="0" hierarchy="110"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oneField="1" hidden="1">
      <fieldsUsage count="1">
        <fieldUsage x="3"/>
      </fieldsUsage>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oneField="1" hidden="1">
      <fieldsUsage count="1">
        <fieldUsage x="4"/>
      </fieldsUsage>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64583334" createdVersion="4" refreshedVersion="7" minRefreshableVersion="3" recordCount="0" supportSubquery="1" supportAdvancedDrill="1" xr:uid="{00000000-000A-0000-FFFF-FFFF22010000}">
  <cacheSource type="external" connectionId="3"/>
  <cacheFields count="4">
    <cacheField name="[Winter daily sitreps].[Year].[Year]" caption="Year" numFmtId="0" hierarchy="77" level="1">
      <sharedItems containsSemiMixedTypes="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Paed Int Care Avail]" caption="Sum of Paed Int Care Avail" numFmtId="0" hierarchy="109" level="32767"/>
    <cacheField name="[Measures].[Sum of Paed Int Care Occ]" caption="Sum of Paed Int Care Occ" numFmtId="0" hierarchy="110"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oneField="1" hidden="1">
      <fieldsUsage count="1">
        <fieldUsage x="2"/>
      </fieldsUsage>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oneField="1" hidden="1">
      <fieldsUsage count="1">
        <fieldUsage x="3"/>
      </fieldsUsage>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66550928" createdVersion="4" refreshedVersion="7" minRefreshableVersion="3" recordCount="0" supportSubquery="1" supportAdvancedDrill="1" xr:uid="{00000000-000A-0000-FFFF-FFFF0E010000}">
  <cacheSource type="external" connectionId="3"/>
  <cacheFields count="5">
    <cacheField name="[Winter daily sitreps].[Year].[Year]" caption="Year" numFmtId="0" hierarchy="77" level="1">
      <sharedItems containsSemiMixedTypes="0" containsString="0"/>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Region].[Region]" caption="Region" numFmtId="0" hierarchy="76" level="1">
      <sharedItems count="7">
        <s v="East Of England"/>
        <s v="London"/>
        <s v="Midlands"/>
        <s v="North East and Yorkshire"/>
        <s v="North West"/>
        <s v="South East"/>
        <s v="South West"/>
      </sharedItems>
    </cacheField>
    <cacheField name="[Measures].[Sum of Neo Int Care Avail]" caption="Sum of Neo Int Care Avail" numFmtId="0" hierarchy="111" level="32767"/>
    <cacheField name="[Measures].[Sum of Neo Int Care occ]" caption="Sum of Neo Int Care occ" numFmtId="0" hierarchy="112"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oneField="1" hidden="1">
      <fieldsUsage count="1">
        <fieldUsage x="3"/>
      </fieldsUsage>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oneField="1" hidden="1">
      <fieldsUsage count="1">
        <fieldUsage x="4"/>
      </fieldsUsage>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68865737" createdVersion="4" refreshedVersion="7" minRefreshableVersion="3" recordCount="0" supportSubquery="1" supportAdvancedDrill="1" xr:uid="{00000000-000A-0000-FFFF-FFFF24010000}">
  <cacheSource type="external" connectionId="3"/>
  <cacheFields count="4">
    <cacheField name="[Winter daily sitreps].[Year].[Year]" caption="Year" numFmtId="0" hierarchy="77" level="1">
      <sharedItems containsSemiMixedTypes="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Neo Int Care Avail]" caption="Sum of Neo Int Care Avail" numFmtId="0" hierarchy="111" level="32767"/>
    <cacheField name="[Measures].[Sum of Neo Int Care occ]" caption="Sum of Neo Int Care occ" numFmtId="0" hierarchy="112"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oneField="1" hidden="1">
      <fieldsUsage count="1">
        <fieldUsage x="2"/>
      </fieldsUsage>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oneField="1" hidden="1">
      <fieldsUsage count="1">
        <fieldUsage x="3"/>
      </fieldsUsage>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71180554" createdVersion="4" refreshedVersion="7" minRefreshableVersion="3" recordCount="0" supportSubquery="1" supportAdvancedDrill="1" xr:uid="{00000000-000A-0000-FFFF-FFFF23010000}">
  <cacheSource type="external" connectionId="3"/>
  <cacheFields count="4">
    <cacheField name="[Winter daily sitreps].[Year].[Year]" caption="Year" numFmtId="0" hierarchy="77" level="1">
      <sharedItems containsSemiMixedTypes="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Neo Int Care Avail]" caption="Sum of Neo Int Care Avail" numFmtId="0" hierarchy="111" level="32767"/>
    <cacheField name="[Measures].[Sum of Neo Int Care occ]" caption="Sum of Neo Int Care occ" numFmtId="0" hierarchy="112"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oneField="1" hidden="1">
      <fieldsUsage count="1">
        <fieldUsage x="2"/>
      </fieldsUsage>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oneField="1" hidden="1">
      <fieldsUsage count="1">
        <fieldUsage x="3"/>
      </fieldsUsage>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72800924" createdVersion="4" refreshedVersion="7" minRefreshableVersion="3" recordCount="0" supportSubquery="1" supportAdvancedDrill="1" xr:uid="{00000000-000A-0000-FFFF-FFFF0D010000}">
  <cacheSource type="external" connectionId="3"/>
  <cacheFields count="5">
    <cacheField name="[Winter daily sitreps].[Year].[Year]" caption="Year" numFmtId="0" hierarchy="77" level="1">
      <sharedItems containsSemiMixedTypes="0" containsString="0"/>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Region].[Region]" caption="Region" numFmtId="0" hierarchy="76" level="1">
      <sharedItems count="7">
        <s v="East Of England"/>
        <s v="London"/>
        <s v="Midlands"/>
        <s v="North East and Yorkshire"/>
        <s v="North West"/>
        <s v="South East"/>
        <s v="South West"/>
      </sharedItems>
    </cacheField>
    <cacheField name="[Measures].[Sum of Neo Int Care Avail]" caption="Sum of Neo Int Care Avail" numFmtId="0" hierarchy="111" level="32767"/>
    <cacheField name="[Measures].[Sum of Neo Int Care occ]" caption="Sum of Neo Int Care occ" numFmtId="0" hierarchy="112"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oneField="1" hidden="1">
      <fieldsUsage count="1">
        <fieldUsage x="3"/>
      </fieldsUsage>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oneField="1" hidden="1">
      <fieldsUsage count="1">
        <fieldUsage x="4"/>
      </fieldsUsage>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74768518" createdVersion="4" refreshedVersion="7" minRefreshableVersion="3" recordCount="0" supportSubquery="1" supportAdvancedDrill="1" xr:uid="{00000000-000A-0000-FFFF-FFFF27010000}">
  <cacheSource type="external" connectionId="3"/>
  <cacheFields count="4">
    <cacheField name="[Winter daily sitreps].[Year].[Year]" caption="Year" numFmtId="0" hierarchy="77" level="1">
      <sharedItems containsSemiMixedTypes="0" containsString="0"/>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Name].[Name]" caption="Name" numFmtId="0" hierarchy="50" level="1">
      <sharedItems count="125">
        <s v="AIREDALE NHS FOUNDATION TRUST"/>
        <s v="ALDER HEY CHILDREN'S NHS FOUNDATION TRUST"/>
        <s v="ASHFORD AND ST. PETER'S HOSPITALS NHS FOUNDATION TRUST"/>
        <s v="BARKING, HAVERING AND REDBRIDGE UNIVERSITY HOSPITALS NHS TRUST"/>
        <s v="BARNSLEY HOSPITAL NHS FOUNDATION TRUST"/>
        <s v="BARTS HEALTH NHS TRUST"/>
        <s v="Bedfordshire Hospitals NHS Foundation Trust"/>
        <s v="BIRMINGHAM WOMEN'S AND CHILDREN'S NHS FOUNDATION TRUST"/>
        <s v="BLACKPOOL TEACHING HOSPITALS NHS FOUNDATION TRUST"/>
        <s v="BOLTON NHS FOUNDATION TRUST"/>
        <s v="BRADFORD TEACHING HOSPITALS NHS FOUNDATION TRUST"/>
        <s v="BUCKINGHAMSHIRE HEALTHCARE NHS TRUST"/>
        <s v="CALDERDALE AND HUDDERSFIELD NHS FOUNDATION TRUST"/>
        <s v="CAMBRIDGE UNIVERSITY HOSPITALS NHS FOUNDATION TRUST"/>
        <s v="CHELSEA AND WESTMINSTER HOSPITAL NHS FOUNDATION TRUST"/>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EAST AND NORTH HERTFORDSHIRE NHS TRUST"/>
        <s v="EAST CHESHIRE NHS TRUST"/>
        <s v="EAST KENT HOSPITALS UNIVERSITY NHS FOUNDATION TRUST"/>
        <s v="EAST LANCASHIRE HOSPITALS NHS TRUST"/>
        <s v="EAST SUFFOLK AND NORTH ESSEX NHS FOUNDATION TRUST"/>
        <s v="EAST SUSSEX HEALTHCARE NHS TRUST"/>
        <s v="EPSOM AND ST HELIER UNIVERSITY HOSPITALS NHS TRUST"/>
        <s v="FRIMLEY HEALTH NHS FOUNDATION TRUST"/>
        <s v="GATESHEAD HEALTH NHS FOUNDATION TRUST"/>
        <s v="GEORGE ELIOT HOSPITAL NHS TRUST"/>
        <s v="GLOUCESTERSHIRE HOSPITALS NHS FOUNDATION TRUST"/>
        <s v="GREAT WESTERN HOSPITALS NHS FOUNDATION TRUST"/>
        <s v="GUY'S AND ST THOMAS' NHS FOUNDATION TRUST"/>
        <s v="HAMPSHIRE HOSPITALS NHS FOUNDATION TRUST"/>
        <s v="HARROGATE AND DISTRICT NHS FOUNDATION TRUST"/>
        <s v="HOMERTON UNIVERSITY HOSPITAL NHS FOUNDATION TRUST"/>
        <s v="HULL UNIVERSITY TEACHING HOSPITALS NHS TRUST"/>
        <s v="IMPERIAL COLLEGE HEALTHCARE NHS TRUST"/>
        <s v="ISLE OF WIGHT NHS TRUST"/>
        <s v="JAMES PAGET UNIVERSITY HOSPITALS NHS FOUNDATION TRUST"/>
        <s v="KETTERING GENERAL HOSPITAL NHS FOUNDATION TRUST"/>
        <s v="KING'S COLLEGE HOSPITAL NHS FOUNDATION TRUST"/>
        <s v="KINGSTON HOSPITAL NHS FOUNDATION TRUST"/>
        <s v="LANCASHIRE TEACHING HOSPITALS NHS FOUNDATION TRUST"/>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ID AND SOUTH ESSEX NHS FOUNDATION TRUST"/>
        <s v="MID CHESHIRE HOSPITALS NHS FOUNDATION TRUST"/>
        <s v="MID YORKSHIRE HOSPITALS NHS TRUST"/>
        <s v="MILTON KEYNES UNIVERSITY HOSPITAL NHS FOUNDATION TRUST"/>
        <s v="NORFOLK AND NORWICH UNIVERSITY HOSPITALS NHS FOUNDATION TRUST"/>
        <s v="NORTH BRISTOL NHS TRUST"/>
        <s v="NORTH CUMBRIA INTEGRATED CARE NHS FOUNDATION TRUST"/>
        <s v="NORTH MIDDLESEX UNIVERSITY HOSPITAL NHS TRUST"/>
        <s v="NORTH TEES AND HARTLEPOOL NHS FOUNDATION TRUST"/>
        <s v="NORTH WEST ANGLIA NHS FOUNDATION TRUST"/>
        <s v="NORTHAMPTON GENERAL HOSPITAL NHS TRUST"/>
        <s v="NORTHERN CARE ALLIANCE NHS FOUNDATION TRUST"/>
        <s v="NORTHERN DEVON HEALTHCARE NHS TRUST"/>
        <s v="NORTHERN LINCOLNSHIRE AND GOOLE NHS FOUNDATION TRUST"/>
        <s v="NORTHUMBRIA HEALTHCARE NHS FOUNDATION TRUST"/>
        <s v="NOTTINGHAM UNIVERSITY HOSPITALS NHS TRUST"/>
        <s v="OXFORD UNIVERSITY HOSPITALS NHS FOUNDATION TRUST"/>
        <s v="PORTSMOUTH HOSPITALS UNIVERSITY NHS TRUST"/>
        <s v="ROYAL BERKSHIRE NHS FOUNDATION TRUST"/>
        <s v="ROYAL CORNWALL HOSPITALS NHS TRUST"/>
        <s v="ROYAL DEVON AND EXETER NHS FOUNDATION TRUST"/>
        <s v="ROYAL FREE LONDON NHS FOUNDATION TRUST"/>
        <s v="ROYAL SURREY COUNTY HOSPITAL NHS FOUNDATION TRUST"/>
        <s v="ROYAL UNITED HOSPITALS BATH NHS FOUNDATION TRUST"/>
        <s v="SALISBURY NHS FOUNDATION TRUST"/>
        <s v="SANDWELL AND WEST BIRMINGHAM HOSPITALS NHS TRUST"/>
        <s v="SHEFFIELD CHILDREN'S NHS FOUNDATION TRUST"/>
        <s v="SHEFFIELD TEACHING HOSPITALS NHS FOUNDATION TRUST"/>
        <s v="SHERWOOD FOREST HOSPITALS NHS FOUNDATION TRUST"/>
        <s v="SHREWSBURY AND TELFORD HOSPITAL NHS TRUST"/>
        <s v="SOMERSET NHS FOUNDATION TRUST"/>
        <s v="SOUTH TEES HOSPITALS NHS FOUNDATION TRUST"/>
        <s v="SOUTH TYNESIDE AND SUNDERLAND NHS FOUNDATION TRUST"/>
        <s v="SOUTH WARWICKSHIRE NHS FOUNDATION TRUST"/>
        <s v="SOUTHPORT AND ORMSKIRK HOSPITAL NHS TRUST"/>
        <s v="ST GEORGE'S UNIVERSITY HOSPITALS NHS FOUNDATION TRUST"/>
        <s v="ST HELENS AND KNOWSLEY HOSPITALS NHS TRUST"/>
        <s v="STOCKPORT NHS FOUNDATION TRUST"/>
        <s v="SURREY AND SUSSEX HEALTHCARE NHS TRUST"/>
        <s v="TAMESIDE AND GLOSSOP INTEGRATED CARE NHS FOUNDATION TRUST"/>
        <s v="THE DUDLEY GROUP NHS FOUNDATION TRUST"/>
        <s v="THE HILLINGDON HOSPITALS NHS FOUNDATION TRUST"/>
        <s v="THE NEWCASTLE UPON TYNE HOSPITALS NHS FOUNDATION TRUST"/>
        <s v="THE PRINCESS ALEXANDRA HOSPITAL NHS TRUST"/>
        <s v="THE QUEEN ELIZABETH HOSPITAL KING'S LYNN NHS FOUNDATION TRUST"/>
        <s v="THE ROTHERHAM NHS FOUNDATION TRUST"/>
        <s v="THE ROYAL WOLVERHAMPTON NHS TRUST"/>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Bristol and Weston NHS Foundation Trust"/>
        <s v="UNIVERSITY HOSPITALS COVENTRY AND WARWICKSHIRE NHS TRUST"/>
        <s v="UNIVERSITY HOSPITALS DORSET NHS FOUNDATION TRUST"/>
        <s v="UNIVERSITY HOSPITALS OF DERBY AND BURTON NHS FOUNDATION TRUST"/>
        <s v="UNIVERSITY HOSPITALS OF LEICESTER NHS TRUST"/>
        <s v="UNIVERSITY HOSPITALS OF MORECAMBE BAY NHS FOUNDATION TRUST"/>
        <s v="UNIVERSITY HOSPITALS OF NORTH MIDLANDS NHS TRUST"/>
        <s v="UNIVERSITY HOSPITALS PLYMOUTH NHS TRUST"/>
        <s v="UNIVERSITY HOSPITALS SUSSEX NHS FOUNDATION TRUST"/>
        <s v="WALSALL HEALTHCARE NHS TRUST"/>
        <s v="WARRINGTON AND HALTON TEACHING HOSPITALS NHS FOUNDATION TRUST"/>
        <s v="WEST HERTFORDSHIRE HOSPITALS NHS TRUST"/>
        <s v="WEST SUFFOLK NHS FOUNDATION TRUST"/>
        <s v="WHITTINGTON HEALTH NHS TRUST"/>
        <s v="WIRRAL UNIVERSITY TEACHING HOSPITAL NHS FOUNDATION TRUST"/>
        <s v="WORCESTERSHIRE ACUTE HOSPITALS NHS TRUST"/>
        <s v="WRIGHTINGTON, WIGAN AND LEIGH NHS FOUNDATION TRUST"/>
        <s v="WYE VALLEY NHS TRUST"/>
        <s v="YEOVIL DISTRICT HOSPITAL NHS FOUNDATION TRUST"/>
        <s v="YORK AND SCARBOROUGH TEACHING HOSPITALS NHS FOUNDATION TRUST"/>
      </sharedItems>
    </cacheField>
    <cacheField name="[Measures].[Sum of Amb delays over 60 mins]" caption="Sum of Amb delays over 60 mins" numFmtId="0" hierarchy="106"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2" memberValueDatatype="130" unbalanced="0">
      <fieldsUsage count="2">
        <fieldUsage x="-1"/>
        <fieldUsage x="2"/>
      </fieldsUsage>
    </cacheHierarchy>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oneField="1" hidden="1">
      <fieldsUsage count="1">
        <fieldUsage x="3"/>
      </fieldsUsage>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76620373" createdVersion="4" refreshedVersion="7" minRefreshableVersion="3" recordCount="0" supportSubquery="1" supportAdvancedDrill="1" xr:uid="{00000000-000A-0000-FFFF-FFFF10010000}">
  <cacheSource type="external" connectionId="3"/>
  <cacheFields count="6">
    <cacheField name="[Winter daily sitreps].[Year].[Year]" caption="Year" numFmtId="0" hierarchy="77" level="1">
      <sharedItems containsSemiMixedTypes="0" containsString="0"/>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Winter daily sitreps].[Region].[Region]" caption="Region" numFmtId="0" hierarchy="76" level="1">
      <sharedItems count="7">
        <s v="East Of England"/>
        <s v="London"/>
        <s v="Midlands"/>
        <s v="North East and Yorkshire"/>
        <s v="North West"/>
        <s v="South East"/>
        <s v="South West"/>
      </sharedItems>
    </cacheField>
    <cacheField name="[Measures].[Sum of Amb delays 30-60 mins]" caption="Sum of Amb delays 30-60 mins" numFmtId="0" hierarchy="105" level="32767"/>
    <cacheField name="[Measures].[Sum of Amb delays over 60 mins]" caption="Sum of Amb delays over 60 mins" numFmtId="0" hierarchy="106" level="32767"/>
    <cacheField name="[Measures].[Sum of Amb arrivals]" caption="Sum of Amb arrivals" numFmtId="0" hierarchy="104"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oneField="1" hidden="1">
      <fieldsUsage count="1">
        <fieldUsage x="5"/>
      </fieldsUsage>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oneField="1" hidden="1">
      <fieldsUsage count="1">
        <fieldUsage x="3"/>
      </fieldsUsage>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oneField="1" hidden="1">
      <fieldsUsage count="1">
        <fieldUsage x="4"/>
      </fieldsUsage>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79050928" createdVersion="4" refreshedVersion="7" minRefreshableVersion="3" recordCount="0" supportSubquery="1" supportAdvancedDrill="1" xr:uid="{00000000-000A-0000-FFFF-FFFF0F010000}">
  <cacheSource type="external" connectionId="3"/>
  <cacheFields count="4">
    <cacheField name="[Winter daily sitreps].[Year].[Year]" caption="Year" numFmtId="0" hierarchy="77" level="1">
      <sharedItems containsSemiMixedTypes="0" containsString="0"/>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Measures].[Sum of Amb arrivals]" caption="Sum of Amb arrivals" numFmtId="0" hierarchy="104" level="32767"/>
    <cacheField name="[Winter daily sitreps].[Region].[Region]" caption="Region" numFmtId="0" hierarchy="76" level="1">
      <sharedItems count="7">
        <s v="East Of England"/>
        <s v="London"/>
        <s v="Midlands"/>
        <s v="North East and Yorkshire"/>
        <s v="North West"/>
        <s v="South East"/>
        <s v="South West"/>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3"/>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oneField="1" hidden="1">
      <fieldsUsage count="1">
        <fieldUsage x="2"/>
      </fieldsUsage>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8113426" createdVersion="5" refreshedVersion="7" minRefreshableVersion="3" recordCount="0" supportSubquery="1" supportAdvancedDrill="1" xr:uid="{26425372-FF30-424B-AA1D-F3471659E320}">
  <cacheSource type="external" connectionId="3"/>
  <cacheFields count="4">
    <cacheField name="[COVID-19 daily discharge sitreps].[Year].[Year]" caption="Year" numFmtId="0" hierarchy="8" level="1">
      <sharedItems containsSemiMixedTypes="0" containsNonDate="0" containsString="0"/>
    </cacheField>
    <cacheField name="[COVID-19 daily discharge sitreps].[Week].[Week]" caption="Week" numFmtId="0" hierarchy="10" level="1">
      <sharedItems containsSemiMixedTypes="0" containsString="0" containsNumber="1" containsInteger="1" minValue="1" maxValue="13" count="13">
        <n v="1"/>
        <n v="2"/>
        <n v="3"/>
        <n v="4"/>
        <n v="5"/>
        <n v="6"/>
        <n v="7"/>
        <n v="8"/>
        <n v="9"/>
        <n v="10"/>
        <n v="11"/>
        <n v="12"/>
        <n v="13"/>
      </sharedItems>
    </cacheField>
    <cacheField name="[Measures].[Sum of Patients who no longer meet the criteria to reside]" caption="Sum of Patients who no longer meet the criteria to reside" numFmtId="0" hierarchy="129" level="32767"/>
    <cacheField name="[COVID-19 daily discharge sitreps].[Region].[Region]" caption="Region" numFmtId="0" hierarchy="5" level="1">
      <sharedItems count="7">
        <s v="EAST OF ENGLAND"/>
        <s v="LONDON"/>
        <s v="MIDLANDS"/>
        <s v="NORTH EAST AND YORKSHIRE"/>
        <s v="NORTH WEST"/>
        <s v="SOUTH EAST"/>
        <s v="SOUTH WEST"/>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2" memberValueDatatype="130" unbalanced="0">
      <fieldsUsage count="2">
        <fieldUsage x="-1"/>
        <fieldUsage x="3"/>
      </fieldsUsage>
    </cacheHierarchy>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2" memberValueDatatype="130" unbalanced="0">
      <fieldsUsage count="2">
        <fieldUsage x="-1"/>
        <fieldUsage x="0"/>
      </fieldsUsage>
    </cacheHierarchy>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2" memberValueDatatype="5" unbalanced="0">
      <fieldsUsage count="2">
        <fieldUsage x="-1"/>
        <fieldUsage x="1"/>
      </fieldsUsage>
    </cacheHierarchy>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0" memberValueDatatype="13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oneField="1" hidden="1">
      <fieldsUsage count="1">
        <fieldUsage x="2"/>
      </fieldsUsage>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10648145" createdVersion="4" refreshedVersion="7" minRefreshableVersion="3" recordCount="0" supportSubquery="1" supportAdvancedDrill="1" xr:uid="{00000000-000A-0000-FFFF-FFFF02010000}">
  <cacheSource type="external" connectionId="3"/>
  <cacheFields count="4">
    <cacheField name="[Measures].[Sum of AE diverts]" caption="Sum of AE diverts" numFmtId="0" hierarchy="94" level="32767"/>
    <cacheField name="[Winter daily sitreps].[Year].[Year]" caption="Year" numFmtId="0" hierarchy="77" level="1">
      <sharedItems containsSemiMixedTypes="0" containsNonDate="0" containsString="0"/>
    </cacheField>
    <cacheField name="[Winter daily sitreps].[Region].[Region]" caption="Region" numFmtId="0" hierarchy="76" level="1">
      <sharedItems count="7">
        <s v="East Of England"/>
        <s v="London"/>
        <s v="Midlands"/>
        <s v="North East and Yorkshire"/>
        <s v="North West"/>
        <s v="South East"/>
        <s v="South West"/>
      </sharedItems>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1"/>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oneField="1" hidden="1">
      <fieldsUsage count="1">
        <fieldUsage x="0"/>
      </fieldsUsage>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82638892" createdVersion="7" refreshedVersion="7" minRefreshableVersion="3" recordCount="0" supportSubquery="1" supportAdvancedDrill="1" xr:uid="{5631209F-BCA7-4077-B2F1-E22B0E3ECC79}">
  <cacheSource type="external" connectionId="3"/>
  <cacheFields count="5">
    <cacheField name="[COVID-19 daily discharge sitreps].[Year].[Year]" caption="Year" numFmtId="0" hierarchy="8" level="1">
      <sharedItems containsSemiMixedTypes="0" containsNonDate="0" containsString="0"/>
    </cacheField>
    <cacheField name="[COVID-19 daily discharge sitreps].[Week].[Week]" caption="Week" numFmtId="0" hierarchy="10" level="1">
      <sharedItems containsSemiMixedTypes="0" containsString="0" containsNumber="1" containsInteger="1" minValue="1" maxValue="13" count="13">
        <n v="1"/>
        <n v="2"/>
        <n v="3"/>
        <n v="4"/>
        <n v="5"/>
        <n v="6"/>
        <n v="7"/>
        <n v="8"/>
        <n v="9"/>
        <n v="10"/>
        <n v="11"/>
        <n v="12"/>
        <n v="13"/>
      </sharedItems>
    </cacheField>
    <cacheField name="[COVID-19 daily discharge sitreps].[Region].[Region]" caption="Region" numFmtId="0" hierarchy="5" level="1">
      <sharedItems count="7">
        <s v="EAST OF ENGLAND"/>
        <s v="LONDON"/>
        <s v="MIDLANDS"/>
        <s v="NORTH EAST AND YORKSHIRE"/>
        <s v="NORTH WEST"/>
        <s v="SOUTH EAST"/>
        <s v="SOUTH WEST"/>
      </sharedItems>
    </cacheField>
    <cacheField name="[Measures].[Average of Patients who no longer meet the criteria to reside]" caption="Average of Patients who no longer meet the criteria to reside" numFmtId="0" hierarchy="130" level="32767"/>
    <cacheField name="[Measures].[Average of Patients remaining in hospital who no longer meet the criteria to reside]" caption="Average of Patients remaining in hospital who no longer meet the criteria to reside" numFmtId="0" hierarchy="131"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2" memberValueDatatype="130" unbalanced="0">
      <fieldsUsage count="2">
        <fieldUsage x="-1"/>
        <fieldUsage x="2"/>
      </fieldsUsage>
    </cacheHierarchy>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2" memberValueDatatype="130" unbalanced="0">
      <fieldsUsage count="2">
        <fieldUsage x="-1"/>
        <fieldUsage x="0"/>
      </fieldsUsage>
    </cacheHierarchy>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2" memberValueDatatype="5" unbalanced="0">
      <fieldsUsage count="2">
        <fieldUsage x="-1"/>
        <fieldUsage x="1"/>
      </fieldsUsage>
    </cacheHierarchy>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0" memberValueDatatype="13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oneField="1" hidden="1">
      <fieldsUsage count="1">
        <fieldUsage x="3"/>
      </fieldsUsage>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oneField="1" hidden="1">
      <fieldsUsage count="1">
        <fieldUsage x="4"/>
      </fieldsUsage>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84837963" createdVersion="5" refreshedVersion="7" minRefreshableVersion="3" recordCount="0" supportSubquery="1" supportAdvancedDrill="1" xr:uid="{85E17CD0-BAEC-4F35-9898-9367F0E25442}">
  <cacheSource type="external" connectionId="3"/>
  <cacheFields count="4">
    <cacheField name="[COVID-19 daily discharge sitreps].[Year].[Year]" caption="Year" numFmtId="0" hierarchy="8" level="1">
      <sharedItems containsSemiMixedTypes="0" containsNonDate="0" containsString="0"/>
    </cacheField>
    <cacheField name="[COVID-19 daily discharge sitreps].[Week].[Week]" caption="Week" numFmtId="0" hierarchy="10" level="1">
      <sharedItems containsSemiMixedTypes="0" containsString="0" containsNumber="1" containsInteger="1" minValue="1" maxValue="13" count="13">
        <n v="1"/>
        <n v="2"/>
        <n v="3"/>
        <n v="4"/>
        <n v="5"/>
        <n v="6"/>
        <n v="7"/>
        <n v="8"/>
        <n v="9"/>
        <n v="10"/>
        <n v="11"/>
        <n v="12"/>
        <n v="13"/>
      </sharedItems>
    </cacheField>
    <cacheField name="[Measures].[Sum of Patients who no longer meet the criteria to reside]" caption="Sum of Patients who no longer meet the criteria to reside" numFmtId="0" hierarchy="129" level="32767"/>
    <cacheField name="[Measures].[Sum of Patients remaining in hospital who no longer meet the criteria to reside]" caption="Sum of Patients remaining in hospital who no longer meet the criteria to reside" numFmtId="0" hierarchy="128"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2" memberValueDatatype="130" unbalanced="0">
      <fieldsUsage count="2">
        <fieldUsage x="-1"/>
        <fieldUsage x="0"/>
      </fieldsUsage>
    </cacheHierarchy>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2" memberValueDatatype="5" unbalanced="0">
      <fieldsUsage count="2">
        <fieldUsage x="-1"/>
        <fieldUsage x="1"/>
      </fieldsUsage>
    </cacheHierarchy>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0" memberValueDatatype="13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oneField="1" hidden="1">
      <fieldsUsage count="1">
        <fieldUsage x="3"/>
      </fieldsUsage>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oneField="1" hidden="1">
      <fieldsUsage count="1">
        <fieldUsage x="2"/>
      </fieldsUsage>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8715278" createdVersion="5" refreshedVersion="7" minRefreshableVersion="3" recordCount="0" supportSubquery="1" supportAdvancedDrill="1" xr:uid="{0EF345A1-6D8E-41F9-BB3C-9E4DFF19680E}">
  <cacheSource type="external" connectionId="3"/>
  <cacheFields count="4">
    <cacheField name="[Winter daily sitreps].[Year].[Year]" caption="Year" numFmtId="0" hierarchy="77" level="1">
      <sharedItems containsSemiMixedTypes="0" containsNonDate="0" containsString="0"/>
    </cacheField>
    <cacheField name="[Winter daily sitreps].[Region].[Region]" caption="Region" numFmtId="0" hierarchy="76" level="1">
      <sharedItems count="7">
        <s v="East Of England"/>
        <s v="London"/>
        <s v="Midlands"/>
        <s v="North East and Yorkshire"/>
        <s v="North West"/>
        <s v="South East"/>
        <s v="South West"/>
      </sharedItems>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Measures].[Sum of CC flu beds]" caption="Sum of CC flu beds" numFmtId="0" hierarchy="122"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1"/>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oneField="1" hidden="1">
      <fieldsUsage count="1">
        <fieldUsage x="3"/>
      </fieldsUsage>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89236112" createdVersion="5" refreshedVersion="7" minRefreshableVersion="3" recordCount="0" supportSubquery="1" supportAdvancedDrill="1" xr:uid="{680C449C-7CBE-4D7D-AC61-2CDE75BA7464}">
  <cacheSource type="external" connectionId="3"/>
  <cacheFields count="4">
    <cacheField name="[Winter daily sitreps].[Year].[Year]" caption="Year" numFmtId="0" hierarchy="77" level="1">
      <sharedItems containsSemiMixedTypes="0" containsNonDate="0" containsString="0"/>
    </cacheField>
    <cacheField name="[Winter daily sitreps].[Region].[Region]" caption="Region" numFmtId="0" hierarchy="76" level="1">
      <sharedItems count="7">
        <s v="East Of England"/>
        <s v="London"/>
        <s v="Midlands"/>
        <s v="North East and Yorkshire"/>
        <s v="North West"/>
        <s v="South East"/>
        <s v="South West"/>
      </sharedItems>
    </cacheField>
    <cacheField name="[Measures].[Sum of GA flu beds]" caption="Sum of GA flu beds" numFmtId="0" hierarchy="121" level="32767"/>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1"/>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oneField="1" hidden="1">
      <fieldsUsage count="1">
        <fieldUsage x="2"/>
      </fieldsUsage>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91203706" createdVersion="5" refreshedVersion="7" minRefreshableVersion="3" recordCount="0" supportSubquery="1" supportAdvancedDrill="1" xr:uid="{54C9016F-B873-49B3-BBBF-6F4487869814}">
  <cacheSource type="external" connectionId="3"/>
  <cacheFields count="4">
    <cacheField name="[Winter daily sitreps].[Year].[Year]" caption="Year" numFmtId="0" hierarchy="77" level="1">
      <sharedItems containsSemiMixedTypes="0" containsNonDate="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GA flu beds]" caption="Sum of GA flu beds" numFmtId="0" hierarchy="121" level="32767"/>
    <cacheField name="[Measures].[Sum of CC flu beds]" caption="Sum of CC flu beds" numFmtId="0" hierarchy="122"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oneField="1" hidden="1">
      <fieldsUsage count="1">
        <fieldUsage x="2"/>
      </fieldsUsage>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oneField="1" hidden="1">
      <fieldsUsage count="1">
        <fieldUsage x="3"/>
      </fieldsUsage>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93402776" createdVersion="5" refreshedVersion="7" minRefreshableVersion="3" recordCount="0" supportSubquery="1" supportAdvancedDrill="1" xr:uid="{D312A0B4-244D-4A7F-B165-2D36946D4320}">
  <cacheSource type="external" connectionId="3"/>
  <cacheFields count="4">
    <cacheField name="[Winter daily sitreps].[Year].[Year]" caption="Year" numFmtId="0" hierarchy="77" level="1">
      <sharedItems containsSemiMixedTypes="0" containsNonDate="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Paeds RSV beds closed]" caption="Sum of Paeds RSV beds closed" numFmtId="0" hierarchy="123" level="32767"/>
    <cacheField name="[Measures].[Sum of Paeds RSV beds closed unocc]" caption="Sum of Paeds RSV beds closed unocc" numFmtId="0" hierarchy="124"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oneField="1" hidden="1">
      <fieldsUsage count="1">
        <fieldUsage x="2"/>
      </fieldsUsage>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oneField="1" hidden="1">
      <fieldsUsage count="1">
        <fieldUsage x="3"/>
      </fieldsUsage>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94907408" createdVersion="5" refreshedVersion="7" minRefreshableVersion="3" recordCount="0" supportSubquery="1" supportAdvancedDrill="1" xr:uid="{8D5AD63E-DB11-4164-96F5-129A6EF51C3A}">
  <cacheSource type="external" connectionId="3"/>
  <cacheFields count="4">
    <cacheField name="[Winter daily sitreps].[Year].[Year]" caption="Year" numFmtId="0" hierarchy="77" level="1">
      <sharedItems containsSemiMixedTypes="0" containsNonDate="0" containsString="0"/>
    </cacheField>
    <cacheField name="[Winter daily sitreps].[Region].[Region]" caption="Region" numFmtId="0" hierarchy="76" level="1">
      <sharedItems count="7">
        <s v="East Of England"/>
        <s v="London"/>
        <s v="Midlands"/>
        <s v="North East and Yorkshire"/>
        <s v="North West"/>
        <s v="South East"/>
        <s v="South West"/>
      </sharedItems>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Measures].[Sum of Paeds RSV beds closed]" caption="Sum of Paeds RSV beds closed" numFmtId="0" hierarchy="123"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1"/>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oneField="1" hidden="1">
      <fieldsUsage count="1">
        <fieldUsage x="3"/>
      </fieldsUsage>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9699074" createdVersion="5" refreshedVersion="7" minRefreshableVersion="3" recordCount="0" supportSubquery="1" supportAdvancedDrill="1" xr:uid="{6BB3C899-A674-44D4-96EC-52728890267B}">
  <cacheSource type="external" connectionId="3"/>
  <cacheFields count="4">
    <cacheField name="[Winter daily sitreps].[Year].[Year]" caption="Year" numFmtId="0" hierarchy="77" level="1">
      <sharedItems containsSemiMixedTypes="0" containsNonDate="0" containsString="0"/>
    </cacheField>
    <cacheField name="[Winter daily sitreps].[Region].[Region]" caption="Region" numFmtId="0" hierarchy="76" level="1">
      <sharedItems count="7">
        <s v="East Of England"/>
        <s v="London"/>
        <s v="Midlands"/>
        <s v="North East and Yorkshire"/>
        <s v="North West"/>
        <s v="South East"/>
        <s v="South West"/>
      </sharedItems>
    </cacheField>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 name="[Measures].[Sum of Paeds RSV beds closed unocc]" caption="Sum of Paeds RSV beds closed unocc" numFmtId="0" hierarchy="124"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1"/>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oneField="1" hidden="1">
      <fieldsUsage count="1">
        <fieldUsage x="3"/>
      </fieldsUsage>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98958334" createdVersion="5" refreshedVersion="7" minRefreshableVersion="3" recordCount="0" supportSubquery="1" supportAdvancedDrill="1" xr:uid="{388C1DD2-58CF-4A02-88D4-017A91A2670E}">
  <cacheSource type="external" connectionId="3"/>
  <cacheFields count="4">
    <cacheField name="[COVID-19 daily discharge sitreps].[Year].[Year]" caption="Year" numFmtId="0" hierarchy="8" level="1">
      <sharedItems containsSemiMixedTypes="0" containsNonDate="0" containsString="0"/>
    </cacheField>
    <cacheField name="[COVID-19 daily discharge sitreps].[Week].[Week]" caption="Week" numFmtId="0" hierarchy="10" level="1">
      <sharedItems containsSemiMixedTypes="0" containsString="0" containsNumber="1" containsInteger="1" minValue="1" maxValue="13" count="13">
        <n v="1"/>
        <n v="2"/>
        <n v="3"/>
        <n v="4"/>
        <n v="5"/>
        <n v="6"/>
        <n v="7"/>
        <n v="8"/>
        <n v="9"/>
        <n v="10"/>
        <n v="11"/>
        <n v="12"/>
        <n v="13"/>
      </sharedItems>
    </cacheField>
    <cacheField name="[COVID-19 daily discharge sitreps].[Region].[Region]" caption="Region" numFmtId="0" hierarchy="5" level="1">
      <sharedItems count="7">
        <s v="EAST OF ENGLAND"/>
        <s v="LONDON"/>
        <s v="MIDLANDS"/>
        <s v="NORTH EAST AND YORKSHIRE"/>
        <s v="NORTH WEST"/>
        <s v="SOUTH EAST"/>
        <s v="SOUTH WEST"/>
      </sharedItems>
    </cacheField>
    <cacheField name="[Measures].[Sum of Patients remaining in hospital who no longer meet the criteria to reside]" caption="Sum of Patients remaining in hospital who no longer meet the criteria to reside" numFmtId="0" hierarchy="128"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2" memberValueDatatype="130" unbalanced="0">
      <fieldsUsage count="2">
        <fieldUsage x="-1"/>
        <fieldUsage x="2"/>
      </fieldsUsage>
    </cacheHierarchy>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2" memberValueDatatype="130" unbalanced="0">
      <fieldsUsage count="2">
        <fieldUsage x="-1"/>
        <fieldUsage x="0"/>
      </fieldsUsage>
    </cacheHierarchy>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2" memberValueDatatype="5" unbalanced="0">
      <fieldsUsage count="2">
        <fieldUsage x="-1"/>
        <fieldUsage x="1"/>
      </fieldsUsage>
    </cacheHierarchy>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0" memberValueDatatype="13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oneField="1" hidden="1">
      <fieldsUsage count="1">
        <fieldUsage x="3"/>
      </fieldsUsage>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12152776" createdVersion="4" refreshedVersion="7" minRefreshableVersion="3" recordCount="0" supportSubquery="1" supportAdvancedDrill="1" xr:uid="{00000000-000A-0000-FFFF-FFFF11010000}">
  <cacheSource type="external" connectionId="3"/>
  <cacheFields count="3">
    <cacheField name="[Measures].[Sum of AE diverts]" caption="Sum of AE diverts" numFmtId="0" hierarchy="94" level="32767"/>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Winter daily sitreps].[Year].[Year]" caption="Year" numFmtId="0" hierarchy="77" level="1">
      <sharedItems containsSemiMixedTypes="0" containsString="0"/>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2"/>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oneField="1" hidden="1">
      <fieldsUsage count="1">
        <fieldUsage x="0"/>
      </fieldsUsage>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hidden="1">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hidden="1">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hidden="1">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13888893" createdVersion="4" refreshedVersion="7" minRefreshableVersion="3" recordCount="0" supportSubquery="1" supportAdvancedDrill="1" xr:uid="{00000000-000A-0000-FFFF-FFFF14010000}">
  <cacheSource type="external" connectionId="3"/>
  <cacheFields count="5">
    <cacheField name="[Winter daily sitreps].[Year].[Year]" caption="Year" numFmtId="0" hierarchy="77" level="1">
      <sharedItems containsSemiMixedTypes="0" containsString="0"/>
    </cacheField>
    <cacheField name="[Winter daily sitreps].[Week].[Week]" caption="Week" numFmtId="0" hierarchy="52" level="1">
      <sharedItems containsSemiMixedTypes="0" containsString="0" containsNumber="1" containsInteger="1" minValue="1" maxValue="13" count="13">
        <n v="1"/>
        <n v="2"/>
        <n v="3"/>
        <n v="4"/>
        <n v="5"/>
        <n v="6"/>
        <n v="7"/>
        <n v="8"/>
        <n v="9"/>
        <n v="10"/>
        <n v="11"/>
        <n v="12"/>
        <n v="13"/>
      </sharedItems>
    </cacheField>
    <cacheField name="[Measures].[Sum of GA core beds avail]" caption="Sum of GA core beds avail" numFmtId="0" hierarchy="117" level="32767"/>
    <cacheField name="[Measures].[Sum of GA escalation beds avail]" caption="Sum of GA escalation beds avail" numFmtId="0" hierarchy="118" level="32767"/>
    <cacheField name="[Measures].[Sum of GA total beds avail]" caption="Sum of GA total beds avail" numFmtId="0" hierarchy="97" level="32767"/>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oneField="1" hidden="1">
      <fieldsUsage count="1">
        <fieldUsage x="4"/>
      </fieldsUsage>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oneField="1" hidden="1">
      <fieldsUsage count="1">
        <fieldUsage x="2"/>
      </fieldsUsage>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oneField="1" hidden="1">
      <fieldsUsage count="1">
        <fieldUsage x="3"/>
      </fieldsUsage>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15856479" createdVersion="4" refreshedVersion="7" minRefreshableVersion="3" recordCount="0" supportSubquery="1" supportAdvancedDrill="1" xr:uid="{00000000-000A-0000-FFFF-FFFF15010000}">
  <cacheSource type="external" connectionId="3"/>
  <cacheFields count="5">
    <cacheField name="[Winter daily sitreps].[Year].[Year]" caption="Year" numFmtId="0" hierarchy="77" level="1">
      <sharedItems containsSemiMixedTypes="0" containsString="0"/>
    </cacheField>
    <cacheField name="[Measures].[Sum of GA core beds avail]" caption="Sum of GA core beds avail" numFmtId="0" hierarchy="117" level="32767"/>
    <cacheField name="[Measures].[Sum of GA escalation beds avail]" caption="Sum of GA escalation beds avail" numFmtId="0" hierarchy="118" level="32767"/>
    <cacheField name="[Measures].[Sum of GA total beds avail]" caption="Sum of GA total beds avail" numFmtId="0" hierarchy="97" level="32767"/>
    <cacheField name="[Winter daily sitreps].[Date].[Date]" caption="Date" numFmtId="0" hierarchy="51" level="1">
      <sharedItems containsSemiMixedTypes="0" containsNonDate="0" containsDate="1" containsString="0" minDate="2021-11-29T00:00:00" maxDate="2022-02-28T00:00:00" count="91">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oneField="1" hidden="1">
      <fieldsUsage count="1">
        <fieldUsage x="3"/>
      </fieldsUsage>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oneField="1" hidden="1">
      <fieldsUsage count="1">
        <fieldUsage x="1"/>
      </fieldsUsage>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oneField="1" hidden="1">
      <fieldsUsage count="1">
        <fieldUsage x="2"/>
      </fieldsUsage>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17708334" createdVersion="4" refreshedVersion="7" minRefreshableVersion="3" recordCount="0" supportSubquery="1" supportAdvancedDrill="1" xr:uid="{00000000-000A-0000-FFFF-FFFF16010000}">
  <cacheSource type="external" connectionId="3"/>
  <cacheFields count="5">
    <cacheField name="[Winter daily sitreps].[Year].[Year]" caption="Year" numFmtId="0" hierarchy="77" level="1">
      <sharedItems containsSemiMixedTypes="0" containsString="0"/>
    </cacheField>
    <cacheField name="[Measures].[Sum of GA core beds avail]" caption="Sum of GA core beds avail" numFmtId="0" hierarchy="117" level="32767"/>
    <cacheField name="[Measures].[Sum of GA escalation beds avail]" caption="Sum of GA escalation beds avail" numFmtId="0" hierarchy="118" level="32767"/>
    <cacheField name="[Measures].[Sum of GA total beds avail]" caption="Sum of GA total beds avail" numFmtId="0" hierarchy="97" level="32767"/>
    <cacheField name="[Winter daily sitreps].[Date].[Date]" caption="Date" numFmtId="0" hierarchy="51" level="1">
      <sharedItems containsSemiMixedTypes="0" containsNonDate="0" containsDate="1" containsString="0" minDate="2021-11-29T00:00:00" maxDate="2022-02-28T00:00:00" count="91">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oneField="1" hidden="1">
      <fieldsUsage count="1">
        <fieldUsage x="3"/>
      </fieldsUsage>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oneField="1" hidden="1">
      <fieldsUsage count="1">
        <fieldUsage x="1"/>
      </fieldsUsage>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oneField="1" hidden="1">
      <fieldsUsage count="1">
        <fieldUsage x="2"/>
      </fieldsUsage>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annah Long" refreshedDate="44623.462619328704" createdVersion="4" refreshedVersion="7" minRefreshableVersion="3" recordCount="0" supportSubquery="1" supportAdvancedDrill="1" xr:uid="{00000000-000A-0000-FFFF-FFFF03010000}">
  <cacheSource type="external" connectionId="3"/>
  <cacheFields count="6">
    <cacheField name="[Winter daily sitreps].[Year].[Year]" caption="Year" numFmtId="0" hierarchy="77" level="1">
      <sharedItems containsSemiMixedTypes="0" containsString="0"/>
    </cacheField>
    <cacheField name="[Measures].[Sum of GA core beds avail]" caption="Sum of GA core beds avail" numFmtId="0" hierarchy="117" level="32767"/>
    <cacheField name="[Measures].[Sum of GA escalation beds avail]" caption="Sum of GA escalation beds avail" numFmtId="0" hierarchy="118" level="32767"/>
    <cacheField name="[Winter daily sitreps].[Region].[Region]" caption="Region" numFmtId="0" hierarchy="76" level="1">
      <sharedItems count="7">
        <s v="East Of England"/>
        <s v="London"/>
        <s v="Midlands"/>
        <s v="North East and Yorkshire"/>
        <s v="North West"/>
        <s v="South East"/>
        <s v="South West"/>
      </sharedItems>
    </cacheField>
    <cacheField name="[Measures].[Sum of GA total beds avail]" caption="Sum of GA total beds avail" numFmtId="0" hierarchy="97" level="32767"/>
    <cacheField name="[Winter daily sitreps].[Week long].[Week long]" caption="Week long" numFmtId="0" hierarchy="83" level="1">
      <sharedItems count="13">
        <s v="Week 1"/>
        <s v="Week 10"/>
        <s v="Week 11"/>
        <s v="Week 12"/>
        <s v="Week 13"/>
        <s v="Week 2"/>
        <s v="Week 3"/>
        <s v="Week 4"/>
        <s v="Week 5"/>
        <s v="Week 6"/>
        <s v="Week 7"/>
        <s v="Week 8"/>
        <s v="Week 9"/>
      </sharedItems>
    </cacheField>
  </cacheFields>
  <cacheHierarchies count="133">
    <cacheHierarchy uniqueName="[COVID-19 daily discharge sitreps].[ID]" caption="ID" attribute="1" defaultMemberUniqueName="[COVID-19 daily discharge sitreps].[ID].[All]" allUniqueName="[COVID-19 daily discharge sitreps].[ID].[All]" dimensionUniqueName="[COVID-19 daily discharge sitreps]" displayFolder="" count="0" memberValueDatatype="20" unbalanced="0"/>
    <cacheHierarchy uniqueName="[COVID-19 daily discharge sitreps].[cri_id]" caption="cri_id" attribute="1" defaultMemberUniqueName="[COVID-19 daily discharge sitreps].[cri_id].[All]" allUniqueName="[COVID-19 daily discharge sitreps].[cri_id].[All]" dimensionUniqueName="[COVID-19 daily discharge sitreps]" displayFolder="" count="0" memberValueDatatype="20" unbalanced="0"/>
    <cacheHierarchy uniqueName="[COVID-19 daily discharge sitreps].[dr_id]" caption="dr_id" attribute="1" defaultMemberUniqueName="[COVID-19 daily discharge sitreps].[dr_id].[All]" allUniqueName="[COVID-19 daily discharge sitreps].[dr_id].[All]" dimensionUniqueName="[COVID-19 daily discharge sitreps]" displayFolder="" count="0" memberValueDatatype="20" unbalanced="0"/>
    <cacheHierarchy uniqueName="[COVID-19 daily discharge sitreps].[org_id]" caption="org_id" attribute="1" defaultMemberUniqueName="[COVID-19 daily discharge sitreps].[org_id].[All]" allUniqueName="[COVID-19 daily discharge sitreps].[org_id].[All]" dimensionUniqueName="[COVID-19 daily discharge sitreps]" displayFolder="" count="0" memberValueDatatype="20" unbalanced="0"/>
    <cacheHierarchy uniqueName="[COVID-19 daily discharge sitreps].[cri_dataperiodstart]" caption="cri_dataperiodstart" attribute="1" time="1" defaultMemberUniqueName="[COVID-19 daily discharge sitreps].[cri_dataperiodstart].[All]" allUniqueName="[COVID-19 daily discharge sitreps].[cri_dataperiodstart].[All]" dimensionUniqueName="[COVID-19 daily discharge sitreps]" displayFolder="" count="0" memberValueDatatype="7" unbalanced="0"/>
    <cacheHierarchy uniqueName="[COVID-19 daily discharge sitreps].[Region]" caption="Region" attribute="1" defaultMemberUniqueName="[COVID-19 daily discharge sitreps].[Region].[All]" allUniqueName="[COVID-19 daily discharge sitreps].[Region].[All]" dimensionUniqueName="[COVID-19 daily discharge sitreps]" displayFolder="" count="0" memberValueDatatype="130" unbalanced="0"/>
    <cacheHierarchy uniqueName="[COVID-19 daily discharge sitreps].[Code]" caption="Code" attribute="1" defaultMemberUniqueName="[COVID-19 daily discharge sitreps].[Code].[All]" allUniqueName="[COVID-19 daily discharge sitreps].[Code].[All]" dimensionUniqueName="[COVID-19 daily discharge sitreps]" displayFolder="" count="0" memberValueDatatype="130" unbalanced="0"/>
    <cacheHierarchy uniqueName="[COVID-19 daily discharge sitreps].[Name]" caption="Name" attribute="1" defaultMemberUniqueName="[COVID-19 daily discharge sitreps].[Name].[All]" allUniqueName="[COVID-19 daily discharge sitreps].[Name].[All]" dimensionUniqueName="[COVID-19 daily discharge sitreps]" displayFolder="" count="0" memberValueDatatype="130" unbalanced="0"/>
    <cacheHierarchy uniqueName="[COVID-19 daily discharge sitreps].[Year]" caption="Year" attribute="1" defaultMemberUniqueName="[COVID-19 daily discharge sitreps].[Year].[All]" allUniqueName="[COVID-19 daily discharge sitreps].[Year].[All]" dimensionUniqueName="[COVID-19 daily discharge sitreps]" displayFolder="" count="0" memberValueDatatype="130" unbalanced="0"/>
    <cacheHierarchy uniqueName="[COVID-19 daily discharge sitreps].[Date]" caption="Date" attribute="1" defaultMemberUniqueName="[COVID-19 daily discharge sitreps].[Date].[All]" allUniqueName="[COVID-19 daily discharge sitreps].[Date].[All]" dimensionUniqueName="[COVID-19 daily discharge sitreps]" displayFolder="" count="0" memberValueDatatype="130" unbalanced="0"/>
    <cacheHierarchy uniqueName="[COVID-19 daily discharge sitreps].[Week]" caption="Week" attribute="1" defaultMemberUniqueName="[COVID-19 daily discharge sitreps].[Week].[All]" allUniqueName="[COVID-19 daily discharge sitreps].[Week].[All]" dimensionUniqueName="[COVID-19 daily discharge sitreps]" displayFolder="" count="0" memberValueDatatype="5" unbalanced="0"/>
    <cacheHierarchy uniqueName="[COVID-19 daily discharge sitreps].[Day]" caption="Day" attribute="1" defaultMemberUniqueName="[COVID-19 daily discharge sitreps].[Day].[All]" allUniqueName="[COVID-19 daily discharge sitreps].[Day].[All]" dimensionUniqueName="[COVID-19 daily discharge sitreps]" displayFolder="" count="0" memberValueDatatype="130" unbalanced="0"/>
    <cacheHierarchy uniqueName="[COVID-19 daily discharge sitreps].[Patients who no longer meet the criteria to reside]" caption="Patients who no longer meet the criteria to reside" attribute="1" defaultMemberUniqueName="[COVID-19 daily discharge sitreps].[Patients who no longer meet the criteria to reside].[All]" allUniqueName="[COVID-19 daily discharge sitreps].[Patients who no longer meet the criteria to reside].[All]" dimensionUniqueName="[COVID-19 daily discharge sitreps]" displayFolder="" count="0" memberValueDatatype="20" unbalanced="0"/>
    <cacheHierarchy uniqueName="[COVID-19 daily discharge sitreps].[Patients discharged]" caption="Patients discharged" attribute="1" defaultMemberUniqueName="[COVID-19 daily discharge sitreps].[Patients discharged].[All]" allUniqueName="[COVID-19 daily discharge sitreps].[Patients discharged].[All]" dimensionUniqueName="[COVID-19 daily discharge sitreps]" displayFolder="" count="0" memberValueDatatype="20" unbalanced="0"/>
    <cacheHierarchy uniqueName="[COVID-19 daily discharge sitreps].[Patients remaining in hospital who no longer meet the criteria to reside]" caption="Patients remaining in hospital who no longer meet the criteria to reside" attribute="1" defaultMemberUniqueName="[COVID-19 daily discharge sitreps].[Patients remaining in hospital who no longer meet the criteria to reside].[All]" allUniqueName="[COVID-19 daily discharge sitreps].[Patients remaining in hospital who no longer meet the criteria to reside].[All]" dimensionUniqueName="[COVID-19 daily discharge sitreps]" displayFolder="" count="0" memberValueDatatype="20" unbalanced="0"/>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3"/>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5"/>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Winter daily sitreps].[GA flu beds]" caption="GA flu beds" attribute="1" defaultMemberUniqueName="[Winter daily sitreps].[GA flu beds].[All]" allUniqueName="[Winter daily sitreps].[GA flu beds].[All]" dimensionUniqueName="[Winter daily sitreps]" displayFolder="" count="0" memberValueDatatype="5" unbalanced="0"/>
    <cacheHierarchy uniqueName="[Winter daily sitreps].[CC flu beds]" caption="CC flu beds" attribute="1" defaultMemberUniqueName="[Winter daily sitreps].[CC flu beds].[All]" allUniqueName="[Winter daily sitreps].[CC flu beds].[All]" dimensionUniqueName="[Winter daily sitreps]" displayFolder="" count="0" memberValueDatatype="5" unbalanced="0"/>
    <cacheHierarchy uniqueName="[Winter daily sitreps].[Paeds RSV beds closed]" caption="Paeds RSV beds closed" attribute="1" defaultMemberUniqueName="[Winter daily sitreps].[Paeds RSV beds closed].[All]" allUniqueName="[Winter daily sitreps].[Paeds RSV beds closed].[All]" dimensionUniqueName="[Winter daily sitreps]" displayFolder="" count="0" memberValueDatatype="5" unbalanced="0"/>
    <cacheHierarchy uniqueName="[Winter daily sitreps].[Paeds RSV beds closed unocc]" caption="Paeds RSV beds closed unocc" attribute="1" defaultMemberUniqueName="[Winter daily sitreps].[Paeds RSV beds closed unocc].[All]" allUniqueName="[Winter daily sitreps].[Paeds RSV beds closed unocc].[All]" dimensionUniqueName="[Winter daily sitreps]" displayFolder="" count="0" memberValueDatatype="5" unbalanced="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XL_Count COVID-19 daily discharge sitreps]" caption="__XL_Count COVID-19 daily discharge sitreps" measure="1" displayFolder="" measureGroup="COVID-19 daily discharge sitreps" count="0" hidden="1"/>
    <cacheHierarchy uniqueName="[Measures].[__No measures defined]" caption="__No measures defined" measure="1" displayFolder="" count="0" hidden="1"/>
    <cacheHierarchy uniqueName="[Measures].[Sum of AE diverts]" caption="Sum of AE diverts" measure="1" displayFolder="" measureGroup="Winter daily sitreps" count="0" hidden="1">
      <extLst>
        <ext xmlns:x15="http://schemas.microsoft.com/office/spreadsheetml/2010/11/main" uri="{B97F6D7D-B522-45F9-BDA1-12C45D357490}">
          <x15:cacheHierarchy aggregatedColumn="56"/>
        </ext>
      </extLst>
    </cacheHierarchy>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GA total beds avail]" caption="Sum of GA total beds avail" measure="1" displayFolder="" measureGroup="Winter daily sitreps" count="0" oneField="1" hidden="1">
      <fieldsUsage count="1">
        <fieldUsage x="4"/>
      </fieldsUsage>
      <extLst>
        <ext xmlns:x15="http://schemas.microsoft.com/office/spreadsheetml/2010/11/main" uri="{B97F6D7D-B522-45F9-BDA1-12C45D357490}">
          <x15:cacheHierarchy aggregatedColumn="64"/>
        </ext>
      </extLst>
    </cacheHierarchy>
    <cacheHierarchy uniqueName="[Measures].[Sum of Beds occ over 7 days]" caption="Sum of Beds occ over 7 days" measure="1" displayFolder="" measureGroup="Winter daily sitreps" count="0" hidden="1">
      <extLst>
        <ext xmlns:x15="http://schemas.microsoft.com/office/spreadsheetml/2010/11/main" uri="{B97F6D7D-B522-45F9-BDA1-12C45D357490}">
          <x15:cacheHierarchy aggregatedColumn="78"/>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79"/>
        </ext>
      </extLst>
    </cacheHierarchy>
    <cacheHierarchy uniqueName="[Measures].[Sum of Beds closed norovirus]" caption="Sum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66"/>
        </ext>
      </extLst>
    </cacheHierarchy>
    <cacheHierarchy uniqueName="[Measures].[Sum of Beds closed norovius unocc]" caption="Sum of Beds closed norovius unocc" measure="1" displayFolder="" measureGroup="Winter daily sitreps" count="0" hidden="1">
      <extLst>
        <ext xmlns:x15="http://schemas.microsoft.com/office/spreadsheetml/2010/11/main" uri="{B97F6D7D-B522-45F9-BDA1-12C45D357490}">
          <x15:cacheHierarchy aggregatedColumn="67"/>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80"/>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81"/>
        </ext>
      </extLst>
    </cacheHierarchy>
    <cacheHierarchy uniqueName="[Measures].[Sum of Amb delays over 60 mins]" caption="Sum of Amb delays over 60 mins" measure="1" displayFolder="" measureGroup="Winter daily sitreps" count="0" hidden="1">
      <extLst>
        <ext xmlns:x15="http://schemas.microsoft.com/office/spreadsheetml/2010/11/main" uri="{B97F6D7D-B522-45F9-BDA1-12C45D357490}">
          <x15:cacheHierarchy aggregatedColumn="82"/>
        </ext>
      </extLst>
    </cacheHierarchy>
    <cacheHierarchy uniqueName="[Measures].[Sum of Adult CC beds avail]" caption="Sum of Adult CC beds avail" measure="1" displayFolder="" measureGroup="Winter daily sitreps" count="0" hidden="1">
      <extLst>
        <ext xmlns:x15="http://schemas.microsoft.com/office/spreadsheetml/2010/11/main" uri="{B97F6D7D-B522-45F9-BDA1-12C45D357490}">
          <x15:cacheHierarchy aggregatedColumn="68"/>
        </ext>
      </extLst>
    </cacheHierarchy>
    <cacheHierarchy uniqueName="[Measures].[Sum of Adult CC beds occ]" caption="Sum of Adult CC beds occ" measure="1" displayFolder="" measureGroup="Winter daily sitreps" count="0" hidden="1">
      <extLst>
        <ext xmlns:x15="http://schemas.microsoft.com/office/spreadsheetml/2010/11/main" uri="{B97F6D7D-B522-45F9-BDA1-12C45D357490}">
          <x15:cacheHierarchy aggregatedColumn="69"/>
        </ext>
      </extLst>
    </cacheHierarchy>
    <cacheHierarchy uniqueName="[Measures].[Sum of Paed Int Care Avail]" caption="Sum of Paed Int Care Avail" measure="1" displayFolder="" measureGroup="Winter daily sitreps" count="0" hidden="1">
      <extLst>
        <ext xmlns:x15="http://schemas.microsoft.com/office/spreadsheetml/2010/11/main" uri="{B97F6D7D-B522-45F9-BDA1-12C45D357490}">
          <x15:cacheHierarchy aggregatedColumn="70"/>
        </ext>
      </extLst>
    </cacheHierarchy>
    <cacheHierarchy uniqueName="[Measures].[Sum of Paed Int Care Occ]" caption="Sum of Paed Int Care Occ" measure="1" displayFolder="" measureGroup="Winter daily sitreps" count="0" hidden="1">
      <extLst>
        <ext xmlns:x15="http://schemas.microsoft.com/office/spreadsheetml/2010/11/main" uri="{B97F6D7D-B522-45F9-BDA1-12C45D357490}">
          <x15:cacheHierarchy aggregatedColumn="71"/>
        </ext>
      </extLst>
    </cacheHierarchy>
    <cacheHierarchy uniqueName="[Measures].[Sum of Neo Int Care Avail]" caption="Sum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Sum of Neo Int Care occ]" caption="Sum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72"/>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73"/>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Average of GA bed occupancy]" caption="Average of GA bed occupancy" measure="1" displayFolder="" measureGroup="Winter daily sitreps" count="0" hidden="1">
      <extLst>
        <ext xmlns:x15="http://schemas.microsoft.com/office/spreadsheetml/2010/11/main" uri="{B97F6D7D-B522-45F9-BDA1-12C45D357490}">
          <x15:cacheHierarchy aggregatedColumn="84"/>
        </ext>
      </extLst>
    </cacheHierarchy>
    <cacheHierarchy uniqueName="[Measures].[Sum of GA core beds avail]" caption="Sum of GA core beds avail" measure="1" displayFolder="" measureGroup="Winter daily sitreps" count="0" oneField="1" hidden="1">
      <fieldsUsage count="1">
        <fieldUsage x="1"/>
      </fieldsUsage>
      <extLst>
        <ext xmlns:x15="http://schemas.microsoft.com/office/spreadsheetml/2010/11/main" uri="{B97F6D7D-B522-45F9-BDA1-12C45D357490}">
          <x15:cacheHierarchy aggregatedColumn="62"/>
        </ext>
      </extLst>
    </cacheHierarchy>
    <cacheHierarchy uniqueName="[Measures].[Sum of GA escalation beds avail]" caption="Sum of GA escalation beds avail" measure="1" displayFolder="" measureGroup="Winter daily sitreps" count="0" oneField="1" hidden="1">
      <fieldsUsage count="1">
        <fieldUsage x="2"/>
      </fieldsUsage>
      <extLst>
        <ext xmlns:x15="http://schemas.microsoft.com/office/spreadsheetml/2010/11/main" uri="{B97F6D7D-B522-45F9-BDA1-12C45D357490}">
          <x15:cacheHierarchy aggregatedColumn="63"/>
        </ext>
      </extLst>
    </cacheHierarchy>
    <cacheHierarchy uniqueName="[Measures].[Sum of Beds occ over 14 days]" caption="Sum of Beds occ over 14 days" measure="1" displayFolder="" measureGroup="Winter bed occ over 14 days" count="0" hidden="1">
      <extLst>
        <ext xmlns:x15="http://schemas.microsoft.com/office/spreadsheetml/2010/11/main" uri="{B97F6D7D-B522-45F9-BDA1-12C45D357490}">
          <x15:cacheHierarchy aggregatedColumn="43"/>
        </ext>
      </extLst>
    </cacheHierarchy>
    <cacheHierarchy uniqueName="[Measures].[Sum of Beds occ over 14 days 2]" caption="Sum of Beds occ over 14 days 2" measure="1" displayFolder="" measureGroup="Winter daily sitreps" count="0" hidden="1">
      <extLst>
        <ext xmlns:x15="http://schemas.microsoft.com/office/spreadsheetml/2010/11/main" uri="{B97F6D7D-B522-45F9-BDA1-12C45D357490}">
          <x15:cacheHierarchy aggregatedColumn="85"/>
        </ext>
      </extLst>
    </cacheHierarchy>
    <cacheHierarchy uniqueName="[Measures].[Sum of GA flu beds]" caption="Sum of GA flu beds" measure="1" displayFolder="" measureGroup="Winter daily sitreps" count="0" hidden="1">
      <extLst>
        <ext xmlns:x15="http://schemas.microsoft.com/office/spreadsheetml/2010/11/main" uri="{B97F6D7D-B522-45F9-BDA1-12C45D357490}">
          <x15:cacheHierarchy aggregatedColumn="86"/>
        </ext>
      </extLst>
    </cacheHierarchy>
    <cacheHierarchy uniqueName="[Measures].[Sum of CC flu beds]" caption="Sum of CC flu beds" measure="1" displayFolder="" measureGroup="Winter daily sitreps" count="0" hidden="1">
      <extLst>
        <ext xmlns:x15="http://schemas.microsoft.com/office/spreadsheetml/2010/11/main" uri="{B97F6D7D-B522-45F9-BDA1-12C45D357490}">
          <x15:cacheHierarchy aggregatedColumn="87"/>
        </ext>
      </extLst>
    </cacheHierarchy>
    <cacheHierarchy uniqueName="[Measures].[Sum of Paeds RSV beds closed]" caption="Sum of Paeds RSV beds closed" measure="1" displayFolder="" measureGroup="Winter daily sitreps" count="0" hidden="1">
      <extLst>
        <ext xmlns:x15="http://schemas.microsoft.com/office/spreadsheetml/2010/11/main" uri="{B97F6D7D-B522-45F9-BDA1-12C45D357490}">
          <x15:cacheHierarchy aggregatedColumn="88"/>
        </ext>
      </extLst>
    </cacheHierarchy>
    <cacheHierarchy uniqueName="[Measures].[Sum of Paeds RSV beds closed unocc]" caption="Sum of Paeds RSV beds closed unocc" measure="1" displayFolder="" measureGroup="Winter daily sitreps" count="0" hidden="1">
      <extLst>
        <ext xmlns:x15="http://schemas.microsoft.com/office/spreadsheetml/2010/11/main" uri="{B97F6D7D-B522-45F9-BDA1-12C45D357490}">
          <x15:cacheHierarchy aggregatedColumn="89"/>
        </ext>
      </extLst>
    </cacheHierarchy>
    <cacheHierarchy uniqueName="[Measures].[Count of Patients who no longer meet the criteria to reside]" caption="Count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Count of Patients discharged]" caption="Count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y uniqueName="[Measures].[Count of Patients remaining in hospital who no longer meet the criteria to reside]" caption="Count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remaining in hospital who no longer meet the criteria to reside]" caption="Sum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who no longer meet the criteria to reside]" caption="Sum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who no longer meet the criteria to reside]" caption="Average of Patients who no longer meet the criteria to reside" measure="1" displayFolder="" measureGroup="COVID-19 daily discharge sitreps" count="0" hidden="1">
      <extLst>
        <ext xmlns:x15="http://schemas.microsoft.com/office/spreadsheetml/2010/11/main" uri="{B97F6D7D-B522-45F9-BDA1-12C45D357490}">
          <x15:cacheHierarchy aggregatedColumn="12"/>
        </ext>
      </extLst>
    </cacheHierarchy>
    <cacheHierarchy uniqueName="[Measures].[Average of Patients remaining in hospital who no longer meet the criteria to reside]" caption="Average of Patients remaining in hospital who no longer meet the criteria to reside" measure="1" displayFolder="" measureGroup="COVID-19 daily discharge sitreps" count="0" hidden="1">
      <extLst>
        <ext xmlns:x15="http://schemas.microsoft.com/office/spreadsheetml/2010/11/main" uri="{B97F6D7D-B522-45F9-BDA1-12C45D357490}">
          <x15:cacheHierarchy aggregatedColumn="14"/>
        </ext>
      </extLst>
    </cacheHierarchy>
    <cacheHierarchy uniqueName="[Measures].[Sum of Patients discharged]" caption="Sum of Patients discharged" measure="1" displayFolder="" measureGroup="COVID-19 daily discharge sitreps" count="0" hidden="1">
      <extLst>
        <ext xmlns:x15="http://schemas.microsoft.com/office/spreadsheetml/2010/11/main" uri="{B97F6D7D-B522-45F9-BDA1-12C45D357490}">
          <x15:cacheHierarchy aggregatedColumn="13"/>
        </ext>
      </extLst>
    </cacheHierarchy>
  </cacheHierarchies>
  <kpis count="0"/>
  <dimensions count="4">
    <dimension name="COVID-19 daily discharge sitreps" uniqueName="[COVID-19 daily discharge sitreps]" caption="COVID-19 daily discharge sitreps"/>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3">
    <measureGroup name="COVID-19 daily discharge sitreps" caption="COVID-19 daily discharge sitreps"/>
    <measureGroup name="Winter bed occ over 14 days" caption="Winter bed occ over 14 days"/>
    <measureGroup name="Winter daily sitreps" caption="Winter daily sitrep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
  <r>
    <d v="2021-11-29T00:00:00"/>
    <x v="0"/>
    <n v="6094"/>
    <n v="588"/>
    <n v="1099"/>
    <n v="1158"/>
    <n v="1059"/>
    <n v="834"/>
    <n v="782"/>
    <n v="574"/>
  </r>
  <r>
    <d v="2021-11-30T00:00:00"/>
    <x v="0"/>
    <n v="6123"/>
    <n v="561"/>
    <n v="1095"/>
    <n v="1196"/>
    <n v="1091"/>
    <n v="838"/>
    <n v="764"/>
    <n v="578"/>
  </r>
  <r>
    <d v="2021-12-01T00:00:00"/>
    <x v="0"/>
    <n v="5829"/>
    <n v="558"/>
    <n v="1074"/>
    <n v="1092"/>
    <n v="969"/>
    <n v="802"/>
    <n v="770"/>
    <n v="564"/>
  </r>
  <r>
    <d v="2021-12-02T00:00:00"/>
    <x v="0"/>
    <n v="5915"/>
    <n v="531"/>
    <n v="1083"/>
    <n v="1140"/>
    <n v="1001"/>
    <n v="797"/>
    <n v="801"/>
    <n v="562"/>
  </r>
  <r>
    <d v="2021-12-03T00:00:00"/>
    <x v="0"/>
    <n v="5851"/>
    <n v="527"/>
    <n v="1069"/>
    <n v="1158"/>
    <n v="947"/>
    <n v="784"/>
    <n v="815"/>
    <n v="551"/>
  </r>
  <r>
    <d v="2021-12-04T00:00:00"/>
    <x v="0"/>
    <n v="5784"/>
    <n v="516"/>
    <n v="1057"/>
    <n v="1137"/>
    <n v="933"/>
    <n v="764"/>
    <n v="834"/>
    <n v="543"/>
  </r>
  <r>
    <d v="2021-12-05T00:00:00"/>
    <x v="0"/>
    <n v="5903"/>
    <n v="524"/>
    <n v="1087"/>
    <n v="1155"/>
    <n v="933"/>
    <n v="812"/>
    <n v="850"/>
    <n v="542"/>
  </r>
  <r>
    <m/>
    <x v="1"/>
    <m/>
    <m/>
    <m/>
    <m/>
    <m/>
    <m/>
    <m/>
    <m/>
  </r>
  <r>
    <m/>
    <x v="1"/>
    <m/>
    <m/>
    <m/>
    <m/>
    <m/>
    <m/>
    <m/>
    <m/>
  </r>
  <r>
    <m/>
    <x v="1"/>
    <m/>
    <m/>
    <m/>
    <m/>
    <m/>
    <m/>
    <m/>
    <m/>
  </r>
  <r>
    <m/>
    <x v="1"/>
    <m/>
    <m/>
    <m/>
    <m/>
    <m/>
    <m/>
    <m/>
    <m/>
  </r>
  <r>
    <m/>
    <x v="1"/>
    <m/>
    <m/>
    <m/>
    <m/>
    <m/>
    <m/>
    <m/>
    <m/>
  </r>
  <r>
    <m/>
    <x v="1"/>
    <m/>
    <m/>
    <m/>
    <m/>
    <m/>
    <m/>
    <m/>
    <m/>
  </r>
  <r>
    <m/>
    <x v="1"/>
    <m/>
    <m/>
    <m/>
    <m/>
    <m/>
    <m/>
    <m/>
    <m/>
  </r>
  <r>
    <m/>
    <x v="1"/>
    <m/>
    <m/>
    <m/>
    <m/>
    <m/>
    <m/>
    <m/>
    <m/>
  </r>
  <r>
    <m/>
    <x v="1"/>
    <m/>
    <m/>
    <m/>
    <m/>
    <m/>
    <m/>
    <m/>
    <m/>
  </r>
  <r>
    <m/>
    <x v="1"/>
    <m/>
    <m/>
    <m/>
    <m/>
    <m/>
    <m/>
    <m/>
    <m/>
  </r>
  <r>
    <m/>
    <x v="1"/>
    <m/>
    <m/>
    <m/>
    <m/>
    <m/>
    <m/>
    <m/>
    <m/>
  </r>
  <r>
    <m/>
    <x v="1"/>
    <m/>
    <m/>
    <m/>
    <m/>
    <m/>
    <m/>
    <m/>
    <m/>
  </r>
  <r>
    <m/>
    <x v="1"/>
    <m/>
    <m/>
    <m/>
    <m/>
    <m/>
    <m/>
    <m/>
    <m/>
  </r>
  <r>
    <m/>
    <x v="1"/>
    <m/>
    <m/>
    <m/>
    <m/>
    <m/>
    <m/>
    <m/>
    <m/>
  </r>
  <r>
    <m/>
    <x v="1"/>
    <m/>
    <m/>
    <m/>
    <m/>
    <m/>
    <m/>
    <m/>
    <m/>
  </r>
  <r>
    <m/>
    <x v="1"/>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6" cacheId="233" applyNumberFormats="0" applyBorderFormats="0" applyFontFormats="0" applyPatternFormats="0" applyAlignmentFormats="0" applyWidthHeightFormats="1" dataCaption="Values" tag="70907dcb-9db8-4617-8784-43e18385953c" updatedVersion="7" minRefreshableVersion="3" useAutoFormatting="1" subtotalHiddenItems="1" rowGrandTotals="0" colGrandTotals="0" itemPrintTitles="1" createdVersion="4" indent="0" outline="1" outlineData="1" multipleFieldFilters="0">
  <location ref="AF5:AG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77" name="[Winter daily sitreps].[Year].&amp;[2021/22]" cap="2021/22"/>
  </pageFields>
  <dataFields count="1">
    <dataField name="Sum of AE diverts" fld="0"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5" cacheId="263" applyNumberFormats="0" applyBorderFormats="0" applyFontFormats="0" applyPatternFormats="0" applyAlignmentFormats="0" applyWidthHeightFormats="1" dataCaption="Values" tag="a352aa7b-46c6-4630-a505-e65dd965d25a" updatedVersion="7" minRefreshableVersion="3" useAutoFormatting="1" subtotalHiddenItems="1" itemPrintTitles="1" createdVersion="4" indent="0" outline="1" outlineData="1" multipleFieldFilters="0">
  <location ref="I5:Y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4"/>
  </rowFields>
  <rowItems count="14">
    <i>
      <x/>
    </i>
    <i>
      <x v="1"/>
    </i>
    <i>
      <x v="2"/>
    </i>
    <i>
      <x v="3"/>
    </i>
    <i>
      <x v="4"/>
    </i>
    <i>
      <x v="5"/>
    </i>
    <i>
      <x v="6"/>
    </i>
    <i>
      <x v="7"/>
    </i>
    <i>
      <x v="8"/>
    </i>
    <i>
      <x v="9"/>
    </i>
    <i>
      <x v="10"/>
    </i>
    <i>
      <x v="11"/>
    </i>
    <i>
      <x v="12"/>
    </i>
    <i t="grand">
      <x/>
    </i>
  </rowItems>
  <colFields count="2">
    <field x="3"/>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7" name="[Winter daily sitreps].[Year].&amp;[2021/22]" cap="2021/22"/>
  </pageFields>
  <dataFields count="2">
    <dataField name="Available" fld="1" baseField="0" baseItem="0"/>
    <dataField name="Occupied"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2">
    <colHierarchyUsage hierarchyUsage="7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4" cacheId="257" applyNumberFormats="0" applyBorderFormats="0" applyFontFormats="0" applyPatternFormats="0" applyAlignmentFormats="0" applyWidthHeightFormats="1" dataCaption="Values" tag="8eedc978-07e8-48d8-81c4-2d336553a92f" updatedVersion="7" minRefreshableVersion="3" useAutoFormatting="1" subtotalHiddenItems="1" itemPrintTitles="1" createdVersion="4" indent="0" outline="1" outlineData="1" multipleFieldFilters="0">
  <location ref="B5:D19"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2">
    <i>
      <x/>
    </i>
    <i i="1">
      <x v="1"/>
    </i>
  </colItems>
  <pageFields count="1">
    <pageField fld="0" hier="77" name="[Winter daily sitreps].[Year].&amp;[2021/22]" cap="2021/22"/>
  </pageFields>
  <dataFields count="2">
    <dataField name="Available" fld="1" baseField="0" baseItem="0"/>
    <dataField name="Occupied"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269" applyNumberFormats="0" applyBorderFormats="0" applyFontFormats="0" applyPatternFormats="0" applyAlignmentFormats="0" applyWidthHeightFormats="1" dataCaption="Values" tag="68ce7bb5-b9a1-4618-b6f2-2507f223e533" updatedVersion="7" minRefreshableVersion="3" useAutoFormatting="1" subtotalHiddenItems="1" itemPrintTitles="1" createdVersion="4" indent="0" outline="1" outlineData="1" multipleFieldFilters="0">
  <location ref="B5:J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77" name="[Winter daily sitreps].[Year].&amp;[2021/22]" cap="2021/22"/>
  </pageFields>
  <dataFields count="1">
    <dataField name="Sum of Beds occ over 7 days"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7" cacheId="272" applyNumberFormats="0" applyBorderFormats="0" applyFontFormats="0" applyPatternFormats="0" applyAlignmentFormats="0" applyWidthHeightFormats="1" dataCaption="Values" tag="9ee8705f-742d-43e2-b9ad-e7b8f313e376" updatedVersion="7" minRefreshableVersion="3" useAutoFormatting="1" subtotalHiddenItems="1" itemPrintTitles="1" createdVersion="4" indent="0" outline="1" outlineData="1" multipleFieldFilters="0">
  <location ref="AQ6:AY21"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1" hier="77" name="[Winter daily sitreps].[Year].&amp;[2021/22]" cap="2021/22"/>
  </pageFields>
  <dataFields count="1">
    <dataField name="Sum of Beds occ over 14 days 2" fld="0"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3" cacheId="266" applyNumberFormats="0" applyBorderFormats="0" applyFontFormats="0" applyPatternFormats="0" applyAlignmentFormats="0" applyWidthHeightFormats="1" dataCaption="Values" tag="ecb01006-d778-4523-bb61-3a857638a5df" updatedVersion="7" minRefreshableVersion="3" useAutoFormatting="1" subtotalHiddenItems="1" itemPrintTitles="1" createdVersion="4" indent="0" outline="1" outlineData="1" multipleFieldFilters="0">
  <location ref="V5:AD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77" name="[Winter daily sitreps].[Year].&amp;[2021/22]" cap="2021/22"/>
  </pageFields>
  <dataFields count="1">
    <dataField name="Sum of Beds occ over 21 days"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20" cacheId="275" applyNumberFormats="0" applyBorderFormats="0" applyFontFormats="0" applyPatternFormats="0" applyAlignmentFormats="0" applyWidthHeightFormats="1" dataCaption="Values" tag="7ec86bb0-3bf3-4944-b894-a8057789e36b" updatedVersion="7" minRefreshableVersion="3" useAutoFormatting="1" subtotalHiddenItems="1" rowGrandTotals="0" colGrandTotals="0" itemPrintTitles="1" createdVersion="4" indent="0" outline="1" outlineData="1" multipleFieldFilters="0">
  <location ref="AS5:AT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77" name="[Winter daily sitreps].[Year].&amp;[2021/22]" cap="2021/22"/>
  </pageFields>
  <dataFields count="1">
    <dataField name="Sum of Beds closed norovirus"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500-000004000000}" name="PivotTable21" cacheId="290" applyNumberFormats="0" applyBorderFormats="0" applyFontFormats="0" applyPatternFormats="0" applyAlignmentFormats="0" applyWidthHeightFormats="1" dataCaption="Values" tag="fb069d29-b488-44cf-b4dd-a64c1834045e" updatedVersion="7" minRefreshableVersion="3" useAutoFormatting="1" subtotalHiddenItems="1" rowGrandTotals="0" colGrandTotals="0" itemPrintTitles="1" createdVersion="4" indent="0" outline="1" outlineData="1" multipleFieldFilters="0">
  <location ref="AY5:AZ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1"/>
  </rowFields>
  <rowItems count="13">
    <i>
      <x/>
    </i>
    <i>
      <x v="1"/>
    </i>
    <i>
      <x v="2"/>
    </i>
    <i>
      <x v="3"/>
    </i>
    <i>
      <x v="4"/>
    </i>
    <i>
      <x v="5"/>
    </i>
    <i>
      <x v="6"/>
    </i>
    <i>
      <x v="7"/>
    </i>
    <i>
      <x v="8"/>
    </i>
    <i>
      <x v="9"/>
    </i>
    <i>
      <x v="10"/>
    </i>
    <i>
      <x v="11"/>
    </i>
    <i>
      <x v="12"/>
    </i>
  </rowItems>
  <colItems count="1">
    <i/>
  </colItems>
  <pageFields count="1">
    <pageField fld="0" hier="77" name="[Winter daily sitreps].[Year].&amp;[2021/22]" cap="2021/22"/>
  </pageFields>
  <dataFields count="1">
    <dataField name="Sum of Beds closed norovius unocc"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500-000005000000}" name="PivotTable22" cacheId="278" applyNumberFormats="0" applyBorderFormats="0" applyFontFormats="0" applyPatternFormats="0" applyAlignmentFormats="0" applyWidthHeightFormats="1" dataCaption="Values" tag="f6e7f0b5-4ed5-4fba-bac3-7097d79e854c" updatedVersion="7" minRefreshableVersion="3" useAutoFormatting="1" subtotalHiddenItems="1" itemPrintTitles="1" createdVersion="4" indent="0" outline="1" outlineData="1" multipleFieldFilters="0">
  <location ref="BD5:BL20"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0" hier="77" name="[Winter daily sitreps].[Year].&amp;[2021/22]" cap="2021/22"/>
  </pageFields>
  <dataFields count="1">
    <dataField name="Sum of Beds closed norovius un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500-000006000000}" name="PivotTable23" cacheId="287" applyNumberFormats="0" applyBorderFormats="0" applyFontFormats="0" applyPatternFormats="0" applyAlignmentFormats="0" applyWidthHeightFormats="1" dataCaption="Values" tag="2d9d57d6-241a-4b7d-8007-23756dbf9354" updatedVersion="7" minRefreshableVersion="3" useAutoFormatting="1" subtotalHiddenItems="1" rowGrandTotals="0" colGrandTotals="0" itemPrintTitles="1" createdVersion="4" indent="0" outline="1" outlineData="1" multipleFieldFilters="0">
  <location ref="CA5:CN131" firstHeaderRow="1" firstDataRow="2" firstDataCol="1" rowPageCount="1" colPageCount="1"/>
  <pivotFields count="4">
    <pivotField axis="axisPage" allDrilled="1" showAll="0" dataSourceSort="1" defaultAttributeDrillState="1">
      <items count="1">
        <item t="default"/>
      </items>
    </pivotField>
    <pivotField axis="axisCol" allDrilled="1" showAll="0" defaultAttributeDrillState="1">
      <items count="14">
        <item s="1" x="0"/>
        <item s="1" x="5"/>
        <item s="1" x="6"/>
        <item s="1" x="7"/>
        <item s="1" x="8"/>
        <item s="1" x="9"/>
        <item s="1" x="10"/>
        <item s="1" x="11"/>
        <item s="1" x="12"/>
        <item s="1" x="1"/>
        <item s="1" x="2"/>
        <item s="1" x="3"/>
        <item s="1" x="4"/>
        <item t="default"/>
      </items>
    </pivotField>
    <pivotField axis="axisRow" allDrilled="1" showAll="0" dataSourceSort="1" defaultAttributeDrillState="1">
      <items count="1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t="default"/>
      </items>
    </pivotField>
    <pivotField dataField="1" showAll="0"/>
  </pivotFields>
  <rowFields count="1">
    <field x="2"/>
  </rowFields>
  <rowItems count="1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rowItems>
  <colFields count="1">
    <field x="1"/>
  </colFields>
  <colItems count="13">
    <i>
      <x/>
    </i>
    <i>
      <x v="1"/>
    </i>
    <i>
      <x v="2"/>
    </i>
    <i>
      <x v="3"/>
    </i>
    <i>
      <x v="4"/>
    </i>
    <i>
      <x v="5"/>
    </i>
    <i>
      <x v="6"/>
    </i>
    <i>
      <x v="7"/>
    </i>
    <i>
      <x v="8"/>
    </i>
    <i>
      <x v="9"/>
    </i>
    <i>
      <x v="10"/>
    </i>
    <i>
      <x v="11"/>
    </i>
    <i>
      <x v="12"/>
    </i>
  </colItems>
  <pageFields count="1">
    <pageField fld="0" hier="77" name="[Winter daily sitreps].[Year].&amp;[2021/22]" cap="2021/22"/>
  </pageFields>
  <dataFields count="1">
    <dataField name="Sum of Beds closed norovius un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8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500-000007000000}" name="PivotTable24" cacheId="281" applyNumberFormats="0" applyBorderFormats="0" applyFontFormats="0" applyPatternFormats="0" applyAlignmentFormats="0" applyWidthHeightFormats="1" dataCaption="Values" tag="6a6694bf-2579-4d47-ad99-0cf669c79fb5" updatedVersion="7" minRefreshableVersion="3" useAutoFormatting="1" subtotalHiddenItems="1" rowGrandTotals="0" colGrandTotals="0" itemPrintTitles="1" createdVersion="4" indent="0" outline="1" outlineData="1" multipleFieldFilters="0">
  <location ref="CR5:CS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77" name="[Winter daily sitreps].[Year].&amp;[2021/22]" cap="2021/22"/>
  </pageFields>
  <dataFields count="1">
    <dataField name="Sum of Beds closed norovius unocc"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236" applyNumberFormats="0" applyBorderFormats="0" applyFontFormats="0" applyPatternFormats="0" applyAlignmentFormats="0" applyWidthHeightFormats="1" dataCaption="Values" tag="9d06cd80-18ab-4970-aab5-c7eca71eb3db" updatedVersion="7" minRefreshableVersion="3" useAutoFormatting="1" subtotalHiddenItems="1" rowGrandTotals="0" colGrandTotals="0" itemPrintTitles="1" createdVersion="4" indent="0" outline="1" outlineData="1" multipleFieldFilters="0">
  <location ref="AA5:AB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77" name="[Winter daily sitreps].[Year].&amp;[2021/22]" cap="2021/22"/>
  </pageFields>
  <dataFields count="1">
    <dataField name="Sum of AE diverts" fld="0"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7" cacheId="284" applyNumberFormats="0" applyBorderFormats="0" applyFontFormats="0" applyPatternFormats="0" applyAlignmentFormats="0" applyWidthHeightFormats="1" dataCaption="Values" tag="97b77543-1b1d-432f-8c12-86d5d61267bb" updatedVersion="7" minRefreshableVersion="3" useAutoFormatting="1" subtotalHiddenItems="1" rowGrandTotals="0" colGrandTotals="0" itemPrintTitles="1" createdVersion="4" indent="0" outline="1" outlineData="1" multipleFieldFilters="0">
  <location ref="B5:C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1"/>
  </rowFields>
  <rowItems count="13">
    <i>
      <x/>
    </i>
    <i>
      <x v="1"/>
    </i>
    <i>
      <x v="2"/>
    </i>
    <i>
      <x v="3"/>
    </i>
    <i>
      <x v="4"/>
    </i>
    <i>
      <x v="5"/>
    </i>
    <i>
      <x v="6"/>
    </i>
    <i>
      <x v="7"/>
    </i>
    <i>
      <x v="8"/>
    </i>
    <i>
      <x v="9"/>
    </i>
    <i>
      <x v="10"/>
    </i>
    <i>
      <x v="11"/>
    </i>
    <i>
      <x v="12"/>
    </i>
  </rowItems>
  <colItems count="1">
    <i/>
  </colItems>
  <pageFields count="1">
    <pageField fld="0" hier="77" name="[Winter daily sitreps].[Year].&amp;[2021/22]" cap="2021/22"/>
  </pageFields>
  <dataFields count="1">
    <dataField name="Sum of Beds closed norovirus"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19" cacheId="296" applyNumberFormats="0" applyBorderFormats="0" applyFontFormats="0" applyPatternFormats="0" applyAlignmentFormats="0" applyWidthHeightFormats="1" dataCaption="Values" tag="e2de2b40-f58f-4522-b985-c9b08a98f818" updatedVersion="7" minRefreshableVersion="3" useAutoFormatting="1" subtotalHiddenItems="1" rowGrandTotals="0" colGrandTotals="0" itemPrintTitles="1" createdVersion="4" indent="0" outline="1" outlineData="1" multipleFieldFilters="0">
  <location ref="AC5:AP131"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efaultAttributeDrillState="1">
      <items count="14">
        <item x="0"/>
        <item x="5"/>
        <item x="6"/>
        <item x="7"/>
        <item x="8"/>
        <item x="9"/>
        <item x="10"/>
        <item x="11"/>
        <item x="12"/>
        <item x="1"/>
        <item x="2"/>
        <item x="3"/>
        <item x="4"/>
        <item t="default"/>
      </items>
    </pivotField>
    <pivotField axis="axisRow" allDrilled="1" showAll="0" dataSourceSort="1" defaultAttributeDrillState="1">
      <items count="1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t="default"/>
      </items>
    </pivotField>
  </pivotFields>
  <rowFields count="1">
    <field x="3"/>
  </rowFields>
  <rowItems count="1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rowItems>
  <colFields count="1">
    <field x="2"/>
  </colFields>
  <colItems count="13">
    <i>
      <x/>
    </i>
    <i>
      <x v="1"/>
    </i>
    <i>
      <x v="2"/>
    </i>
    <i>
      <x v="3"/>
    </i>
    <i>
      <x v="4"/>
    </i>
    <i>
      <x v="5"/>
    </i>
    <i>
      <x v="6"/>
    </i>
    <i>
      <x v="7"/>
    </i>
    <i>
      <x v="8"/>
    </i>
    <i>
      <x v="9"/>
    </i>
    <i>
      <x v="10"/>
    </i>
    <i>
      <x v="11"/>
    </i>
    <i>
      <x v="12"/>
    </i>
  </colItems>
  <pageFields count="1">
    <pageField fld="0" hier="77" name="[Winter daily sitreps].[Year].&amp;[2021/22]" cap="2021/22"/>
  </pageFields>
  <dataFields count="1">
    <dataField name="Sum of Beds closed norovirus" fld="1"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8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18" cacheId="293" applyNumberFormats="0" applyBorderFormats="0" applyFontFormats="0" applyPatternFormats="0" applyAlignmentFormats="0" applyWidthHeightFormats="1" dataCaption="Values" tag="8602e907-ddc4-40bb-89ca-8369de914bb2" updatedVersion="7" minRefreshableVersion="3" useAutoFormatting="1" subtotalHiddenItems="1" itemPrintTitles="1" createdVersion="4" indent="0" outline="1" outlineData="1" multipleFieldFilters="0">
  <location ref="G5:O20"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2"/>
  </rowFields>
  <rowItems count="14">
    <i>
      <x/>
    </i>
    <i>
      <x v="1"/>
    </i>
    <i>
      <x v="2"/>
    </i>
    <i>
      <x v="3"/>
    </i>
    <i>
      <x v="4"/>
    </i>
    <i>
      <x v="5"/>
    </i>
    <i>
      <x v="6"/>
    </i>
    <i>
      <x v="7"/>
    </i>
    <i>
      <x v="8"/>
    </i>
    <i>
      <x v="9"/>
    </i>
    <i>
      <x v="10"/>
    </i>
    <i>
      <x v="11"/>
    </i>
    <i>
      <x v="12"/>
    </i>
    <i t="grand">
      <x/>
    </i>
  </rowItems>
  <colFields count="1">
    <field x="3"/>
  </colFields>
  <colItems count="8">
    <i>
      <x/>
    </i>
    <i>
      <x v="1"/>
    </i>
    <i>
      <x v="2"/>
    </i>
    <i>
      <x v="3"/>
    </i>
    <i>
      <x v="4"/>
    </i>
    <i>
      <x v="5"/>
    </i>
    <i>
      <x v="6"/>
    </i>
    <i t="grand">
      <x/>
    </i>
  </colItems>
  <pageFields count="1">
    <pageField fld="0" hier="77" name="[Winter daily sitreps].[Year].&amp;[2021/22]" cap="2021/22"/>
  </pageFields>
  <dataFields count="1">
    <dataField name="Sum of Beds closed norovirus" fld="1"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PivotTable27" cacheId="308" applyNumberFormats="0" applyBorderFormats="0" applyFontFormats="0" applyPatternFormats="0" applyAlignmentFormats="0" applyWidthHeightFormats="1" dataCaption="Values" tag="dd0981dd-8639-45ae-b501-a497897f676e" updatedVersion="7" minRefreshableVersion="3" useAutoFormatting="1" subtotalHiddenItems="1" rowGrandTotals="0" colGrandTotals="0" itemPrintTitles="1" createdVersion="4" indent="0" outline="1" outlineData="1" multipleFieldFilters="0">
  <location ref="AN5:AP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7" name="[Winter daily sitreps].[Year].&amp;[2021/22]" cap="2021/22"/>
  </pageFields>
  <dataFields count="2">
    <dataField name="Avail" fld="2" baseField="0" baseItem="0"/>
    <dataField name="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600-000003000000}" name="PivotTable28" cacheId="299" applyNumberFormats="0" applyBorderFormats="0" applyFontFormats="0" applyPatternFormats="0" applyAlignmentFormats="0" applyWidthHeightFormats="1" dataCaption="Values" tag="b9575012-05ef-4632-bede-b87d05a4d489" updatedVersion="7" minRefreshableVersion="3" useAutoFormatting="1" subtotalHiddenItems="1" itemPrintTitles="1" createdVersion="4" indent="0" outline="1" outlineData="1" multipleFieldFilters="0">
  <location ref="AT5:BJ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7" name="[Winter daily sitreps].[Year].&amp;[2021/22]" cap="2021/22"/>
  </pageFields>
  <dataFields count="2">
    <dataField name="Avail" fld="1" baseField="0" baseItem="0"/>
    <dataField name="Occ"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2">
    <colHierarchyUsage hierarchyUsage="7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PivotTable26" cacheId="302" applyNumberFormats="0" applyBorderFormats="0" applyFontFormats="0" applyPatternFormats="0" applyAlignmentFormats="0" applyWidthHeightFormats="1" dataCaption="Values" tag="c1fa9d37-cafa-4c6c-bd29-455cc7cea9b3" updatedVersion="7" minRefreshableVersion="3" useAutoFormatting="1" subtotalHiddenItems="1" itemPrintTitles="1" createdVersion="4" indent="0" outline="1" outlineData="1" multipleFieldFilters="0">
  <location ref="I5:Y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7" name="[Winter daily sitreps].[Year].&amp;[2021/22]" cap="2021/22"/>
  </pageFields>
  <dataFields count="2">
    <dataField name="Avail" fld="1" baseField="0" baseItem="0"/>
    <dataField name="Occ"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2">
    <colHierarchyUsage hierarchyUsage="7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5" cacheId="305" applyNumberFormats="0" applyBorderFormats="0" applyFontFormats="0" applyPatternFormats="0" applyAlignmentFormats="0" applyWidthHeightFormats="1" dataCaption="Values" tag="61ac615e-4002-46a2-afd6-5601e05c1057" updatedVersion="7" minRefreshableVersion="3" useAutoFormatting="1" subtotalHiddenItems="1" rowGrandTotals="0" colGrandTotals="0" itemPrintTitles="1" createdVersion="4" indent="0" outline="1" outlineData="1" multipleFieldFilters="0">
  <location ref="C5:E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7" name="[Winter daily sitreps].[Year].&amp;[2021/22]" cap="2021/22"/>
  </pageFields>
  <dataFields count="2">
    <dataField name="Avail" fld="2" baseField="0" baseItem="0"/>
    <dataField name="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3" cacheId="320" applyNumberFormats="0" applyBorderFormats="0" applyFontFormats="0" applyPatternFormats="0" applyAlignmentFormats="0" applyWidthHeightFormats="1" dataCaption="Values" tag="ba0b1b6b-253c-4af3-8da1-40f03654e889" updatedVersion="7" minRefreshableVersion="3" useAutoFormatting="1" subtotalHiddenItems="1" rowGrandTotals="0" colGrandTotals="0" itemPrintTitles="1" createdVersion="4" indent="0" outline="1" outlineData="1" multipleFieldFilters="0">
  <location ref="AM5:AO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7" name="[Winter daily sitreps].[Year].&amp;[2021/22]" cap="2021/22"/>
  </pageFields>
  <dataFields count="2">
    <dataField name="Sum of Paed Int Care Avail" fld="2" baseField="0" baseItem="0"/>
    <dataField name="Sum of Paed Int Care 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2" cacheId="311" applyNumberFormats="0" applyBorderFormats="0" applyFontFormats="0" applyPatternFormats="0" applyAlignmentFormats="0" applyWidthHeightFormats="1" dataCaption="Values" tag="cb83e953-d3a9-4433-84e3-86f132084549" updatedVersion="7" minRefreshableVersion="3" useAutoFormatting="1" subtotalHiddenItems="1" itemPrintTitles="1" createdVersion="4" indent="0" outline="1" outlineData="1" multipleFieldFilters="0">
  <location ref="H5:X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7" name="[Winter daily sitreps].[Year].&amp;[2021/22]" cap="2021/22"/>
  </pageFields>
  <dataFields count="2">
    <dataField name="Sum of Paed Int Care Avail" fld="3" baseField="0" baseItem="0"/>
    <dataField name="Sum of Paed Int Care Occ" fld="4"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2">
    <colHierarchyUsage hierarchyUsage="7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314" applyNumberFormats="0" applyBorderFormats="0" applyFontFormats="0" applyPatternFormats="0" applyAlignmentFormats="0" applyWidthHeightFormats="1" dataCaption="Values" tag="8092ca98-d055-401c-855a-87a650e1589b" updatedVersion="7" minRefreshableVersion="3" useAutoFormatting="1" subtotalHiddenItems="1" rowGrandTotals="0" colGrandTotals="0" itemPrintTitles="1" createdVersion="4" indent="0" outline="1" outlineData="1" multipleFieldFilters="0">
  <location ref="B5:D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7" name="[Winter daily sitreps].[Year].&amp;[2021/22]" cap="2021/22"/>
  </pageFields>
  <dataFields count="2">
    <dataField name="Sum of Paed Int Care Avail" fld="2" baseField="0" baseItem="0"/>
    <dataField name="Sum of Paed Int Care 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9" cacheId="239" applyNumberFormats="0" applyBorderFormats="0" applyFontFormats="0" applyPatternFormats="0" applyAlignmentFormats="0" applyWidthHeightFormats="1" dataCaption="Values" tag="7cdba49d-4c8e-4517-a4e1-6ff5fedbb3a1" updatedVersion="7" minRefreshableVersion="3" useAutoFormatting="1" subtotalHiddenItems="1" itemPrintTitles="1" createdVersion="4" indent="0" outline="1" outlineData="1" multipleFieldFilters="0">
  <location ref="E5:M20"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sortType="ascending"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1" hier="77" name="[Winter daily sitreps].[Year].&amp;[2021/22]" cap="2021/22"/>
  </pageFields>
  <dataFields count="1">
    <dataField name="Sum of AE diverts" fld="0"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700-000003000000}" name="PivotTable4" cacheId="317" applyNumberFormats="0" applyBorderFormats="0" applyFontFormats="0" applyPatternFormats="0" applyAlignmentFormats="0" applyWidthHeightFormats="1" dataCaption="Values" tag="e4f2c472-a146-4ee5-be49-5287088b7209" updatedVersion="7" minRefreshableVersion="3" useAutoFormatting="1" subtotalHiddenItems="1" itemPrintTitles="1" createdVersion="4" indent="0" outline="1" outlineData="1" multipleFieldFilters="0">
  <location ref="AT5:BJ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7" name="[Winter daily sitreps].[Year].&amp;[2021/22]" cap="2021/22"/>
  </pageFields>
  <dataFields count="2">
    <dataField name="Sum of Paed Int Care Avail" fld="3" baseField="0" baseItem="0"/>
    <dataField name="Sum of Paed Int Care Occ" fld="4"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2">
    <colHierarchyUsage hierarchyUsage="7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0" cacheId="323" applyNumberFormats="0" applyBorderFormats="0" applyFontFormats="0" applyPatternFormats="0" applyAlignmentFormats="0" applyWidthHeightFormats="1" dataCaption="Values" tag="63d379ad-3316-4220-96ab-b24ff7ed409f" updatedVersion="7" minRefreshableVersion="3" useAutoFormatting="1" subtotalHiddenItems="1" itemPrintTitles="1" createdVersion="4" indent="0" outline="1" outlineData="1" multipleFieldFilters="0">
  <location ref="AS5:BI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7" name="[Winter daily sitreps].[Year].&amp;[2021/22]" cap="2021/22"/>
  </pageFields>
  <dataFields count="2">
    <dataField name="Sum of Neo Int Care Avail" fld="3" baseField="0" baseItem="0"/>
    <dataField name="Sum of Neo Int Care occ" fld="4"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2">
    <colHierarchyUsage hierarchyUsage="7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PivotTable9" cacheId="326" applyNumberFormats="0" applyBorderFormats="0" applyFontFormats="0" applyPatternFormats="0" applyAlignmentFormats="0" applyWidthHeightFormats="1" dataCaption="Values" tag="b0ef4df9-2980-427c-9277-09e19a1bf0e0" updatedVersion="7" minRefreshableVersion="3" useAutoFormatting="1" subtotalHiddenItems="1" rowGrandTotals="0" colGrandTotals="0" itemPrintTitles="1" createdVersion="4" indent="0" outline="1" outlineData="1" multipleFieldFilters="0">
  <location ref="AM5:AO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7" name="[Winter daily sitreps].[Year].&amp;[2021/22]" cap="2021/22"/>
  </pageFields>
  <dataFields count="2">
    <dataField name="Sum of Neo Int Care Avail" fld="2" baseField="0" baseItem="0"/>
    <dataField name="Sum of Neo Int Care 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caption="Average of Neo Int Care Avail"/>
    <pivotHierarchy dragToRow="0" dragToCol="0" dragToPage="0" dragToData="1" caption="Average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PivotTable6" cacheId="329" applyNumberFormats="0" applyBorderFormats="0" applyFontFormats="0" applyPatternFormats="0" applyAlignmentFormats="0" applyWidthHeightFormats="1" dataCaption="Values" tag="33689785-b65f-4d09-8f69-70383ef188d2" updatedVersion="7" minRefreshableVersion="3" useAutoFormatting="1" subtotalHiddenItems="1" rowGrandTotals="0" colGrandTotals="0" itemPrintTitles="1" createdVersion="4" indent="0" outline="1" outlineData="1" multipleFieldFilters="0">
  <location ref="B5:D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77" name="[Winter daily sitreps].[Year].&amp;[2021/22]" cap="2021/22"/>
  </pageFields>
  <dataFields count="2">
    <dataField name="Sum of Neo Int Care Avail" fld="2" baseField="0" baseItem="0"/>
    <dataField name="Sum of Neo Int Care 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PivotTable8" cacheId="332" applyNumberFormats="0" applyBorderFormats="0" applyFontFormats="0" applyPatternFormats="0" applyAlignmentFormats="0" applyWidthHeightFormats="1" dataCaption="Values" tag="a2bb9c2e-6606-40c6-8988-4a0b49a15b1b" updatedVersion="7" minRefreshableVersion="3" useAutoFormatting="1" subtotalHiddenItems="1" itemPrintTitles="1" createdVersion="4" indent="0" outline="1" outlineData="1" multipleFieldFilters="0">
  <location ref="H5:X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77" name="[Winter daily sitreps].[Year].&amp;[2021/22]" cap="2021/22"/>
  </pageFields>
  <dataFields count="2">
    <dataField name="Sum of Neo Int Care Avail" fld="3" baseField="0" baseItem="0"/>
    <dataField name="Sum of Neo Int Care occ" fld="4"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2">
    <colHierarchyUsage hierarchyUsage="7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2" cacheId="338" applyNumberFormats="0" applyBorderFormats="0" applyFontFormats="0" applyPatternFormats="0" applyAlignmentFormats="0" applyWidthHeightFormats="1" dataCaption="Values" tag="eaf9b400-a2bd-43d0-8ba9-4bd3d8b1e3c8" updatedVersion="7" minRefreshableVersion="3" useAutoFormatting="1" subtotalHiddenItems="1" rowGrandTotals="0" itemPrintTitles="1" createdVersion="4" indent="0" outline="1" outlineData="1" multipleFieldFilters="0">
  <location ref="X5:AV20"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 dataField="1" showAll="0"/>
  </pivotFields>
  <rowFields count="1">
    <field x="1"/>
  </rowFields>
  <rowItems count="13">
    <i>
      <x/>
    </i>
    <i>
      <x v="1"/>
    </i>
    <i>
      <x v="2"/>
    </i>
    <i>
      <x v="3"/>
    </i>
    <i>
      <x v="4"/>
    </i>
    <i>
      <x v="5"/>
    </i>
    <i>
      <x v="6"/>
    </i>
    <i>
      <x v="7"/>
    </i>
    <i>
      <x v="8"/>
    </i>
    <i>
      <x v="9"/>
    </i>
    <i>
      <x v="10"/>
    </i>
    <i>
      <x v="11"/>
    </i>
    <i>
      <x v="12"/>
    </i>
  </rowItems>
  <colFields count="2">
    <field x="2"/>
    <field x="-2"/>
  </colFields>
  <colItems count="24">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t="grand">
      <x/>
    </i>
    <i t="grand" i="1">
      <x/>
    </i>
    <i t="grand" i="2">
      <x/>
    </i>
  </colItems>
  <pageFields count="1">
    <pageField fld="0" hier="77" name="[Winter daily sitreps].[Year].&amp;[2021/22]" cap="2021/22"/>
  </pageFields>
  <dataFields count="3">
    <dataField name="Sum of Amb arrivals" fld="5" baseField="0" baseItem="0"/>
    <dataField name="30-60 mins" fld="3" baseField="0" baseItem="0"/>
    <dataField name="over 60 mins" fld="4"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caption="Sum of Beds closed norovius unocc"/>
    <pivotHierarchy dragToRow="0" dragToCol="0" dragToPage="0" dragToData="1" caption="Sum of Amb arrivals"/>
    <pivotHierarchy dragToRow="0" dragToCol="0" dragToPage="0" dragToData="1" caption="30-60 mins"/>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2">
    <colHierarchyUsage hierarchyUsage="7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1" cacheId="341" applyNumberFormats="0" applyBorderFormats="0" applyFontFormats="0" applyPatternFormats="0" applyAlignmentFormats="0" applyWidthHeightFormats="1" dataCaption="Values" tag="164ea269-92fe-49b9-9646-baab7f3a2050" updatedVersion="7" minRefreshableVersion="3" useAutoFormatting="1" subtotalHiddenItems="1" rowGrandTotals="0" itemPrintTitles="1" createdVersion="4" indent="0" outline="1" outlineData="1" multipleFieldFilters="0">
  <location ref="B5:J19"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xis="axisCol" allDrilled="1" showAll="0" dataSourceSort="1" defaultAttributeDrillState="1">
      <items count="8">
        <item x="0"/>
        <item x="1"/>
        <item x="2"/>
        <item x="3"/>
        <item x="4"/>
        <item x="5"/>
        <item x="6"/>
        <item t="default"/>
      </items>
    </pivotField>
  </pivotFields>
  <rowFields count="1">
    <field x="1"/>
  </rowFields>
  <rowItems count="13">
    <i>
      <x/>
    </i>
    <i>
      <x v="1"/>
    </i>
    <i>
      <x v="2"/>
    </i>
    <i>
      <x v="3"/>
    </i>
    <i>
      <x v="4"/>
    </i>
    <i>
      <x v="5"/>
    </i>
    <i>
      <x v="6"/>
    </i>
    <i>
      <x v="7"/>
    </i>
    <i>
      <x v="8"/>
    </i>
    <i>
      <x v="9"/>
    </i>
    <i>
      <x v="10"/>
    </i>
    <i>
      <x v="11"/>
    </i>
    <i>
      <x v="12"/>
    </i>
  </rowItems>
  <colFields count="1">
    <field x="3"/>
  </colFields>
  <colItems count="8">
    <i>
      <x/>
    </i>
    <i>
      <x v="1"/>
    </i>
    <i>
      <x v="2"/>
    </i>
    <i>
      <x v="3"/>
    </i>
    <i>
      <x v="4"/>
    </i>
    <i>
      <x v="5"/>
    </i>
    <i>
      <x v="6"/>
    </i>
    <i t="grand">
      <x/>
    </i>
  </colItems>
  <pageFields count="1">
    <pageField fld="0" hier="77" name="[Winter daily sitreps].[Year].&amp;[2021/22]" cap="2021/22"/>
  </pageFields>
  <dataFields count="1">
    <dataField name="Sum of Amb arrivals"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caption="Sum of Beds closed norovius unocc"/>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13" cacheId="335" applyNumberFormats="0" applyBorderFormats="0" applyFontFormats="0" applyPatternFormats="0" applyAlignmentFormats="0" applyWidthHeightFormats="1" dataCaption="Values" tag="3cb5cdca-36b5-486f-a20e-39ce49e1e44d" updatedVersion="7" minRefreshableVersion="3" useAutoFormatting="1" subtotalHiddenItems="1" rowGrandTotals="0" colGrandTotals="0" itemPrintTitles="1" createdVersion="4" indent="0" outline="1" outlineData="1" multipleFieldFilters="0">
  <location ref="BK5:BX131" firstHeaderRow="1" firstDataRow="2" firstDataCol="1" rowPageCount="1" colPageCount="1"/>
  <pivotFields count="4">
    <pivotField axis="axisPage" allDrilled="1" showAll="0" dataSourceSort="1" defaultAttributeDrillState="1">
      <items count="1">
        <item t="default"/>
      </items>
    </pivotField>
    <pivotField axis="axisCol" allDrilled="1" showAll="0" defaultAttributeDrillState="1">
      <items count="14">
        <item s="1" x="0"/>
        <item s="1" x="5"/>
        <item s="1" x="6"/>
        <item s="1" x="7"/>
        <item s="1" x="8"/>
        <item s="1" x="9"/>
        <item s="1" x="10"/>
        <item s="1" x="11"/>
        <item s="1" x="12"/>
        <item s="1" x="1"/>
        <item s="1" x="2"/>
        <item s="1" x="3"/>
        <item s="1" x="4"/>
        <item t="default"/>
      </items>
    </pivotField>
    <pivotField axis="axisRow" allDrilled="1" showAll="0" dataSourceSort="1" defaultAttributeDrillState="1">
      <items count="1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t="default"/>
      </items>
    </pivotField>
    <pivotField dataField="1" showAll="0"/>
  </pivotFields>
  <rowFields count="1">
    <field x="2"/>
  </rowFields>
  <rowItems count="1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rowItems>
  <colFields count="1">
    <field x="1"/>
  </colFields>
  <colItems count="13">
    <i>
      <x/>
    </i>
    <i>
      <x v="1"/>
    </i>
    <i>
      <x v="2"/>
    </i>
    <i>
      <x v="3"/>
    </i>
    <i>
      <x v="4"/>
    </i>
    <i>
      <x v="5"/>
    </i>
    <i>
      <x v="6"/>
    </i>
    <i>
      <x v="7"/>
    </i>
    <i>
      <x v="8"/>
    </i>
    <i>
      <x v="9"/>
    </i>
    <i>
      <x v="10"/>
    </i>
    <i>
      <x v="11"/>
    </i>
    <i>
      <x v="12"/>
    </i>
  </colItems>
  <pageFields count="1">
    <pageField fld="0" hier="77" name="[Winter daily sitreps].[Year].&amp;[2021/22]" cap="2021/22"/>
  </pageFields>
  <dataFields count="1">
    <dataField name="Sum of Amb delays over 60 mins"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caption="Sum of Beds closed norovirus"/>
    <pivotHierarchy dragToRow="0" dragToCol="0" dragToPage="0" dragToData="1" caption="Average of Beds closed norovirus"/>
    <pivotHierarchy dragToRow="0" dragToCol="0" dragToPage="0" dragToData="1" caption="Sum of Beds closed norovius unocc"/>
    <pivotHierarchy dragToRow="0" dragToCol="0" dragToPage="0" dragToData="1" caption="Sum of Amb arrivals"/>
    <pivotHierarchy dragToRow="0" dragToCol="0" dragToPage="0" dragToData="1" caption="30-60 mins"/>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8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D5ED3112-7221-4DEA-8397-BF0C75E643F2}" name="PivotTable5" cacheId="2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M2:U4" firstHeaderRow="0" firstDataRow="1" firstDataCol="1"/>
  <pivotFields count="10">
    <pivotField showAll="0"/>
    <pivotField axis="axisRow" showAll="0">
      <items count="6">
        <item x="0"/>
        <item m="1" x="2"/>
        <item m="1" x="3"/>
        <item m="1" x="4"/>
        <item h="1" x="1"/>
        <item t="default"/>
      </items>
    </pivotField>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s>
  <rowFields count="1">
    <field x="1"/>
  </rowFields>
  <rowItems count="2">
    <i>
      <x/>
    </i>
    <i t="grand">
      <x/>
    </i>
  </rowItems>
  <colFields count="1">
    <field x="-2"/>
  </colFields>
  <colItems count="8">
    <i>
      <x/>
    </i>
    <i i="1">
      <x v="1"/>
    </i>
    <i i="2">
      <x v="2"/>
    </i>
    <i i="3">
      <x v="3"/>
    </i>
    <i i="4">
      <x v="4"/>
    </i>
    <i i="5">
      <x v="5"/>
    </i>
    <i i="6">
      <x v="6"/>
    </i>
    <i i="7">
      <x v="7"/>
    </i>
  </colItems>
  <dataFields count="8">
    <dataField name="Average of ENGLAND" fld="2" subtotal="average" baseField="1" baseItem="0"/>
    <dataField name="Average of East of England" fld="3" subtotal="average" baseField="1" baseItem="0" numFmtId="1"/>
    <dataField name="Average of London" fld="4" subtotal="average" baseField="1" baseItem="0" numFmtId="1"/>
    <dataField name="Average of Midlands" fld="5" subtotal="average" baseField="1" baseItem="0" numFmtId="1"/>
    <dataField name="Average of North East and Yorkshire" fld="6" subtotal="average" baseField="1" baseItem="0" numFmtId="1"/>
    <dataField name="Average of North West" fld="7" subtotal="average" baseField="1" baseItem="0" numFmtId="1"/>
    <dataField name="Average of South East" fld="8" subtotal="average" baseField="1" baseItem="0" numFmtId="1"/>
    <dataField name="Average of South West" fld="9" subtotal="average" baseField="1" baseItem="0" numFmtId="1"/>
  </dataFields>
  <formats count="3">
    <format dxfId="6">
      <pivotArea collapsedLevelsAreSubtotals="1" fieldPosition="0">
        <references count="2">
          <reference field="4294967294" count="1" selected="0">
            <x v="0"/>
          </reference>
          <reference field="1" count="0"/>
        </references>
      </pivotArea>
    </format>
    <format dxfId="5">
      <pivotArea field="1" grandRow="1" outline="0" collapsedLevelsAreSubtotals="1" axis="axisRow" fieldPosition="0">
        <references count="1">
          <reference field="4294967294" count="1" selected="0">
            <x v="0"/>
          </reference>
        </references>
      </pivotArea>
    </format>
    <format dxfId="4">
      <pivotArea outline="0" collapsedLevelsAreSubtotals="1"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A3FF38E8-1B42-4E74-B617-A45046D1B2E4}" name="PivotTable3" cacheId="371" applyNumberFormats="0" applyBorderFormats="0" applyFontFormats="0" applyPatternFormats="0" applyAlignmentFormats="0" applyWidthHeightFormats="1" dataCaption="Values" tag="f2df2dbd-6e59-4f2a-b3aa-5cd2994513c5" updatedVersion="7" minRefreshableVersion="3" useAutoFormatting="1" subtotalHiddenItems="1" itemPrintTitles="1" createdVersion="5" indent="0" outline="1" outlineData="1" multipleFieldFilters="0">
  <location ref="BK5:BS20" firstHeaderRow="1" firstDataRow="2"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3">
        <item x="0"/>
        <item x="1"/>
        <item x="2"/>
        <item x="3"/>
        <item x="4"/>
        <item x="5"/>
        <item x="6"/>
        <item x="7"/>
        <item x="8"/>
        <item x="9"/>
        <item x="10"/>
        <item x="11"/>
        <item x="12"/>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1"/>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0" hier="8" name="[COVID-19 daily discharge sitreps].[Year].[All]" cap="All"/>
  </pageFields>
  <dataFields count="1">
    <dataField name="Sum of Patients remaining in hospital who no longer meet the criteria to reside" fld="3" baseField="0" baseItem="0"/>
  </dataFields>
  <formats count="1">
    <format dxfId="0">
      <pivotArea outline="0" collapsedLevelsAreSubtotals="1" fieldPosition="0"/>
    </format>
  </formats>
  <pivotHierarchies count="133">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um of Patients remaining in hospital who no longer meet the criteria to reside"/>
    <pivotHierarchy dragToData="1" caption="Sum of Patients who no longer meet the criteria to reside"/>
    <pivotHierarchy dragToData="1" caption="Average no longer need to reside"/>
    <pivotHierarchy dragToData="1" caption="Average remaining in hospital"/>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VID-19 daily discharge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8" cacheId="242" applyNumberFormats="0" applyBorderFormats="0" applyFontFormats="0" applyPatternFormats="0" applyAlignmentFormats="0" applyWidthHeightFormats="1" dataCaption="Values" tag="c1f45b27-5377-4b85-a5cc-8347f81f52db" updatedVersion="7" minRefreshableVersion="3" useAutoFormatting="1" subtotalHiddenItems="1" itemPrintTitles="1" createdVersion="4" indent="0" outline="1" outlineData="1" multipleFieldFilters="0">
  <location ref="B5:C19" firstHeaderRow="1" firstDataRow="1" firstDataCol="1" rowPageCount="1" colPageCount="1"/>
  <pivotFields count="3">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Page" allDrilled="1" showAll="0" dataSourceSort="1" defaultAttributeDrillState="1">
      <items count="1">
        <item t="default"/>
      </items>
    </pivotField>
  </pivotFields>
  <rowFields count="1">
    <field x="1"/>
  </rowFields>
  <rowItems count="14">
    <i>
      <x/>
    </i>
    <i>
      <x v="1"/>
    </i>
    <i>
      <x v="2"/>
    </i>
    <i>
      <x v="3"/>
    </i>
    <i>
      <x v="4"/>
    </i>
    <i>
      <x v="5"/>
    </i>
    <i>
      <x v="6"/>
    </i>
    <i>
      <x v="7"/>
    </i>
    <i>
      <x v="8"/>
    </i>
    <i>
      <x v="9"/>
    </i>
    <i>
      <x v="10"/>
    </i>
    <i>
      <x v="11"/>
    </i>
    <i>
      <x v="12"/>
    </i>
    <i t="grand">
      <x/>
    </i>
  </rowItems>
  <colItems count="1">
    <i/>
  </colItems>
  <pageFields count="1">
    <pageField fld="2" hier="77" name="[Winter daily sitreps].[Year].&amp;[2021/22]" cap="2021/22"/>
  </pageFields>
  <dataFields count="1">
    <dataField name="Sum of AE diverts" fld="0"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73A7F5F9-5BDB-4FC2-BD9E-17B0930D4E47}" name="PivotTable5" cacheId="344" applyNumberFormats="0" applyBorderFormats="0" applyFontFormats="0" applyPatternFormats="0" applyAlignmentFormats="0" applyWidthHeightFormats="1" dataCaption="Values" tag="f2df2dbd-6e59-4f2a-b3aa-5cd2994513c5" updatedVersion="7" minRefreshableVersion="3" useAutoFormatting="1" subtotalHiddenItems="1" itemPrintTitles="1" createdVersion="5" indent="0" outline="1" outlineData="1" multipleFieldFilters="0">
  <location ref="H5:P20" firstHeaderRow="1" firstDataRow="2"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 axis="axisCol" allDrilled="1" subtotalTop="0" showAll="0" dataSourceSort="1" defaultSubtotal="0" defaultAttributeDrillState="1">
      <items count="7">
        <item x="0"/>
        <item x="1"/>
        <item x="2"/>
        <item x="3"/>
        <item x="4"/>
        <item x="5"/>
        <item x="6"/>
      </items>
    </pivotField>
  </pivotFields>
  <rowFields count="1">
    <field x="1"/>
  </rowFields>
  <rowItems count="14">
    <i>
      <x/>
    </i>
    <i>
      <x v="1"/>
    </i>
    <i>
      <x v="2"/>
    </i>
    <i>
      <x v="3"/>
    </i>
    <i>
      <x v="4"/>
    </i>
    <i>
      <x v="5"/>
    </i>
    <i>
      <x v="6"/>
    </i>
    <i>
      <x v="7"/>
    </i>
    <i>
      <x v="8"/>
    </i>
    <i>
      <x v="9"/>
    </i>
    <i>
      <x v="10"/>
    </i>
    <i>
      <x v="11"/>
    </i>
    <i>
      <x v="12"/>
    </i>
    <i t="grand">
      <x/>
    </i>
  </rowItems>
  <colFields count="1">
    <field x="3"/>
  </colFields>
  <colItems count="8">
    <i>
      <x/>
    </i>
    <i>
      <x v="1"/>
    </i>
    <i>
      <x v="2"/>
    </i>
    <i>
      <x v="3"/>
    </i>
    <i>
      <x v="4"/>
    </i>
    <i>
      <x v="5"/>
    </i>
    <i>
      <x v="6"/>
    </i>
    <i t="grand">
      <x/>
    </i>
  </colItems>
  <pageFields count="1">
    <pageField fld="0" hier="8" name="[COVID-19 daily discharge sitreps].[Year].[All]" cap="All"/>
  </pageFields>
  <dataFields count="1">
    <dataField name="Sum of Patients who no longer meet the criteria to reside" fld="2" baseField="1" baseItem="0" numFmtId="1"/>
  </dataFields>
  <formats count="1">
    <format dxfId="1">
      <pivotArea outline="0" collapsedLevelsAreSubtotals="1" fieldPosition="0"/>
    </format>
  </formats>
  <pivotHierarchies count="133">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um of Patients remaining in hospital who no longer meet the criteria to reside"/>
    <pivotHierarchy dragToData="1" caption="Sum of Patients who no longer meet the criteria to reside"/>
    <pivotHierarchy dragToData="1" caption="Average no longer need to reside"/>
    <pivotHierarchy dragToData="1" caption="Average remaining in hospital"/>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VID-19 daily discharge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7E8A0120-8B9D-4F16-90D0-3FE02003FCB9}" name="PivotTable2" cacheId="347" applyNumberFormats="0" applyBorderFormats="0" applyFontFormats="0" applyPatternFormats="0" applyAlignmentFormats="0" applyWidthHeightFormats="1" dataCaption="Values" tag="4e5ec06b-d49f-450a-844b-1f063cb3a18a" updatedVersion="7" minRefreshableVersion="3" useAutoFormatting="1" subtotalHiddenItems="1" itemPrintTitles="1" createdVersion="7" indent="0" outline="1" outlineData="1" multipleFieldFilters="0">
  <location ref="AE5:AU21" firstHeaderRow="1" firstDataRow="3"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3">
        <item x="0"/>
        <item x="1"/>
        <item x="2"/>
        <item x="3"/>
        <item x="4"/>
        <item x="5"/>
        <item x="6"/>
        <item x="7"/>
        <item x="8"/>
        <item x="9"/>
        <item x="10"/>
        <item x="11"/>
        <item x="12"/>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 dataField="1" subtotalTop="0" showAll="0" defaultSubtota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8" name="[COVID-19 daily discharge sitreps].[Year].[All]" cap="All"/>
  </pageFields>
  <dataFields count="2">
    <dataField name="Average no longer need to reside" fld="3" subtotal="average" baseField="1" baseItem="0" numFmtId="2"/>
    <dataField name="Average remaining in hospital" fld="4" subtotal="average" baseField="1" baseItem="0"/>
  </dataFields>
  <formats count="1">
    <format dxfId="2">
      <pivotArea outline="0" collapsedLevelsAreSubtotals="1" fieldPosition="0"/>
    </format>
  </format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no longer need to reside"/>
    <pivotHierarchy dragToData="1" caption="Average remaining in hospital"/>
    <pivotHierarchy dragToData="1"/>
  </pivotHierarchies>
  <pivotTableStyleInfo name="PivotStyleLight16" showRowHeaders="1" showColHeaders="1" showRowStripes="0" showColStripes="0" showLastColumn="1"/>
  <rowHierarchiesUsage count="1">
    <rowHierarchyUsage hierarchyUsage="10"/>
  </rowHierarchiesUsage>
  <colHierarchiesUsage count="2">
    <colHierarchyUsage hierarchyUsage="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VID-19 daily discharge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9ADE800F-0913-4EB6-89C4-EC452D09AC78}" name="PivotTable1" cacheId="350" applyNumberFormats="0" applyBorderFormats="0" applyFontFormats="0" applyPatternFormats="0" applyAlignmentFormats="0" applyWidthHeightFormats="1" dataCaption="Values" tag="8785e524-8975-4f8c-b121-0eb8ee28c874" updatedVersion="7" minRefreshableVersion="3" useAutoFormatting="1" subtotalHiddenItems="1" itemPrintTitles="1" createdVersion="5" indent="0" outline="1" outlineData="1" multipleFieldFilters="0">
  <location ref="C5:E19" firstHeaderRow="0"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 dataField="1" subtotalTop="0" showAll="0" defaultSubtotal="0"/>
  </pivotFields>
  <rowFields count="1">
    <field x="1"/>
  </rowFields>
  <rowItems count="14">
    <i>
      <x/>
    </i>
    <i>
      <x v="1"/>
    </i>
    <i>
      <x v="2"/>
    </i>
    <i>
      <x v="3"/>
    </i>
    <i>
      <x v="4"/>
    </i>
    <i>
      <x v="5"/>
    </i>
    <i>
      <x v="6"/>
    </i>
    <i>
      <x v="7"/>
    </i>
    <i>
      <x v="8"/>
    </i>
    <i>
      <x v="9"/>
    </i>
    <i>
      <x v="10"/>
    </i>
    <i>
      <x v="11"/>
    </i>
    <i>
      <x v="12"/>
    </i>
    <i t="grand">
      <x/>
    </i>
  </rowItems>
  <colFields count="1">
    <field x="-2"/>
  </colFields>
  <colItems count="2">
    <i>
      <x/>
    </i>
    <i i="1">
      <x v="1"/>
    </i>
  </colItems>
  <pageFields count="1">
    <pageField fld="0" hier="8" name="[COVID-19 daily discharge sitreps].[Year].[All]" cap="All"/>
  </pageFields>
  <dataFields count="2">
    <dataField name="Sum of Patients who no longer meet the criteria to reside" fld="2" baseField="1" baseItem="0" numFmtId="1"/>
    <dataField name="Sum of Patients remaining in hospital who no longer meet the criteria to reside" fld="3" baseField="1" baseItem="0"/>
  </dataFields>
  <formats count="1">
    <format dxfId="3">
      <pivotArea outline="0" collapsedLevelsAreSubtotals="1" fieldPosition="0"/>
    </format>
  </formats>
  <pivotHierarchies count="133">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um of Patients remaining in hospital who no longer meet the criteria to reside"/>
    <pivotHierarchy dragToData="1" caption="Sum of Patients who no longer meet the criteria to reside"/>
    <pivotHierarchy dragToData="1" caption="Average no longer need to reside"/>
    <pivotHierarchy dragToData="1" caption="Average remaining in hospital"/>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VID-19 daily discharge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D955A909-58C9-4760-8673-47EA7439280F}" name="PivotTable2" cacheId="359" applyNumberFormats="0" applyBorderFormats="0" applyFontFormats="0" applyPatternFormats="0" applyAlignmentFormats="0" applyWidthHeightFormats="1" dataCaption="Values" tag="ff968105-f457-4a4d-ab20-f10156145164" updatedVersion="7" minRefreshableVersion="3" useAutoFormatting="1" itemPrintTitles="1" createdVersion="5" indent="0" outline="1" outlineData="1" multipleFieldFilters="0">
  <location ref="B4:D18" firstHeaderRow="0"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 dataField="1" subtotalTop="0" showAll="0" defaultSubtotal="0"/>
  </pivotFields>
  <rowFields count="1">
    <field x="1"/>
  </rowFields>
  <rowItems count="14">
    <i>
      <x/>
    </i>
    <i>
      <x v="1"/>
    </i>
    <i>
      <x v="2"/>
    </i>
    <i>
      <x v="3"/>
    </i>
    <i>
      <x v="4"/>
    </i>
    <i>
      <x v="5"/>
    </i>
    <i>
      <x v="6"/>
    </i>
    <i>
      <x v="7"/>
    </i>
    <i>
      <x v="8"/>
    </i>
    <i>
      <x v="9"/>
    </i>
    <i>
      <x v="10"/>
    </i>
    <i>
      <x v="11"/>
    </i>
    <i>
      <x v="12"/>
    </i>
    <i t="grand">
      <x/>
    </i>
  </rowItems>
  <colFields count="1">
    <field x="-2"/>
  </colFields>
  <colItems count="2">
    <i>
      <x/>
    </i>
    <i i="1">
      <x v="1"/>
    </i>
  </colItems>
  <pageFields count="1">
    <pageField fld="0" hier="77" name="[Winter daily sitreps].[Year].&amp;[2021/22]" cap="2021/22"/>
  </pageFields>
  <dataFields count="2">
    <dataField name="Sum of GA flu beds" fld="2" baseField="0" baseItem="0"/>
    <dataField name="Sum of CC flu beds"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61F0DF67-39B2-424D-9356-09CC094199E2}" name="PivotTable4" cacheId="353" applyNumberFormats="0" applyBorderFormats="0" applyFontFormats="0" applyPatternFormats="0" applyAlignmentFormats="0" applyWidthHeightFormats="1" dataCaption="Values" tag="93053431-fa2d-4be4-956e-bca2b991bf1f" updatedVersion="7" minRefreshableVersion="3" useAutoFormatting="1" itemPrintTitles="1" createdVersion="5" indent="0" outline="1" outlineData="1" multipleFieldFilters="0">
  <location ref="AD5:AL20" firstHeaderRow="1" firstDataRow="2" firstDataCol="1" rowPageCount="1" colPageCount="1"/>
  <pivotFields count="4">
    <pivotField axis="axisPage" allDrilled="1" subtotalTop="0" showAll="0" dataSourceSort="1" defaultSubtotal="0" defaultAttributeDrillState="1"/>
    <pivotField axis="axisCol" allDrilled="1" subtotalTop="0" showAll="0" dataSourceSort="1" defaultSubtotal="0" defaultAttributeDrillState="1">
      <items count="7">
        <item x="0"/>
        <item x="1"/>
        <item x="2"/>
        <item x="3"/>
        <item x="4"/>
        <item x="5"/>
        <item x="6"/>
      </items>
    </pivotField>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s>
  <rowFields count="1">
    <field x="2"/>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77" name="[Winter daily sitreps].[Year].&amp;[2021/22]" cap="2021/22"/>
  </pageFields>
  <dataFields count="1">
    <dataField name="Sum of CC flu beds"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EE08FB85-C8F1-44C8-B16D-10BA0D8BB831}" name="PivotTable3" cacheId="356" applyNumberFormats="0" applyBorderFormats="0" applyFontFormats="0" applyPatternFormats="0" applyAlignmentFormats="0" applyWidthHeightFormats="1" dataCaption="Values" tag="452ac122-c6bd-4574-b74e-a5a874759d4d" updatedVersion="7" minRefreshableVersion="3" useAutoFormatting="1" itemPrintTitles="1" createdVersion="5" indent="0" outline="1" outlineData="1" multipleFieldFilters="0">
  <location ref="G5:O20" firstHeaderRow="1" firstDataRow="2" firstDataCol="1" rowPageCount="1" colPageCount="1"/>
  <pivotFields count="4">
    <pivotField axis="axisPage" allDrilled="1" subtotalTop="0" showAll="0" dataSourceSort="1" defaultSubtotal="0" defaultAttributeDrillState="1"/>
    <pivotField axis="axisCol" allDrilled="1" subtotalTop="0" showAll="0" dataSourceSort="1" defaultSubtotal="0" defaultAttributeDrillState="1">
      <items count="7">
        <item x="0"/>
        <item x="1"/>
        <item x="2"/>
        <item x="3"/>
        <item x="4"/>
        <item x="5"/>
        <item x="6"/>
      </items>
    </pivotField>
    <pivotField dataField="1" subtotalTop="0" showAll="0" defaultSubtotal="0"/>
    <pivotField axis="axisRow" allDrilled="1" subtotalTop="0" showAll="0" dataSourceSort="1" defaultSubtotal="0" defaultAttributeDrillState="1">
      <items count="13">
        <item x="0"/>
        <item x="1"/>
        <item x="2"/>
        <item x="3"/>
        <item x="4"/>
        <item x="5"/>
        <item x="6"/>
        <item x="7"/>
        <item x="8"/>
        <item x="9"/>
        <item x="10"/>
        <item x="11"/>
        <item x="12"/>
      </items>
    </pivotField>
  </pivotFields>
  <rowFields count="1">
    <field x="3"/>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77" name="[Winter daily sitreps].[Year].&amp;[2021/22]" cap="2021/22"/>
  </pageFields>
  <dataFields count="1">
    <dataField name="Sum of GA flu beds" fld="2"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CF5B2C98-23C5-44C8-848E-E4A0C4B58687}" name="PivotTable5" cacheId="365" applyNumberFormats="0" applyBorderFormats="0" applyFontFormats="0" applyPatternFormats="0" applyAlignmentFormats="0" applyWidthHeightFormats="1" dataCaption="Values" tag="c22a5e02-bfed-451e-a9d5-b9e5ae61ff89" updatedVersion="7" minRefreshableVersion="3" useAutoFormatting="1" itemPrintTitles="1" createdVersion="5" indent="0" outline="1" outlineData="1" multipleFieldFilters="0">
  <location ref="G5:O20" firstHeaderRow="1" firstDataRow="2" firstDataCol="1" rowPageCount="1" colPageCount="1"/>
  <pivotFields count="4">
    <pivotField axis="axisPage" allDrilled="1" subtotalTop="0" showAll="0" dataSourceSort="1" defaultSubtotal="0" defaultAttributeDrillState="1"/>
    <pivotField axis="axisCol" allDrilled="1" subtotalTop="0" showAll="0" dataSourceSort="1" defaultSubtotal="0" defaultAttributeDrillState="1">
      <items count="7">
        <item x="0"/>
        <item x="1"/>
        <item x="2"/>
        <item x="3"/>
        <item x="4"/>
        <item x="5"/>
        <item x="6"/>
      </items>
    </pivotField>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s>
  <rowFields count="1">
    <field x="2"/>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77" name="[Winter daily sitreps].[Year].&amp;[2021/22]" cap="2021/22"/>
  </pageFields>
  <dataFields count="1">
    <dataField name="Sum of Paeds RSV beds closed"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90EC32C3-7421-4203-BC0F-854F03B9F6E0}" name="PivotTable8" cacheId="368" applyNumberFormats="0" applyBorderFormats="0" applyFontFormats="0" applyPatternFormats="0" applyAlignmentFormats="0" applyWidthHeightFormats="1" dataCaption="Values" tag="5743be49-916c-46b9-90c1-6a8b09a264dd" updatedVersion="7" minRefreshableVersion="3" useAutoFormatting="1" subtotalHiddenItems="1" itemPrintTitles="1" createdVersion="5" indent="0" outline="1" outlineData="1" multipleFieldFilters="0">
  <location ref="AD5:AL20" firstHeaderRow="1" firstDataRow="2" firstDataCol="1" rowPageCount="1" colPageCount="1"/>
  <pivotFields count="4">
    <pivotField axis="axisPage" allDrilled="1" subtotalTop="0" showAll="0" dataSourceSort="1" defaultSubtotal="0" defaultAttributeDrillState="1"/>
    <pivotField axis="axisCol" allDrilled="1" subtotalTop="0" showAll="0" dataSourceSort="1" defaultSubtotal="0" defaultAttributeDrillState="1">
      <items count="7">
        <item x="0"/>
        <item x="1"/>
        <item x="2"/>
        <item x="3"/>
        <item x="4"/>
        <item x="5"/>
        <item x="6"/>
      </items>
    </pivotField>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s>
  <rowFields count="1">
    <field x="2"/>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77" name="[Winter daily sitreps].[Year].&amp;[2021/22]" cap="2021/22"/>
  </pageFields>
  <dataFields count="1">
    <dataField name="Sum of Paeds RSV beds closed un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F18C7402-0967-4388-8B63-675DC01B2860}" name="PivotTable6" cacheId="362" applyNumberFormats="0" applyBorderFormats="0" applyFontFormats="0" applyPatternFormats="0" applyAlignmentFormats="0" applyWidthHeightFormats="1" dataCaption="Values" tag="d65633d8-e809-477f-adef-19b7b83d9380" updatedVersion="7" minRefreshableVersion="3" useAutoFormatting="1" itemPrintTitles="1" createdVersion="5" indent="0" outline="1" outlineData="1" multipleFieldFilters="0">
  <location ref="B4:D18" firstHeaderRow="0"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 dataField="1" subtotalTop="0" showAll="0" defaultSubtotal="0"/>
  </pivotFields>
  <rowFields count="1">
    <field x="1"/>
  </rowFields>
  <rowItems count="14">
    <i>
      <x/>
    </i>
    <i>
      <x v="1"/>
    </i>
    <i>
      <x v="2"/>
    </i>
    <i>
      <x v="3"/>
    </i>
    <i>
      <x v="4"/>
    </i>
    <i>
      <x v="5"/>
    </i>
    <i>
      <x v="6"/>
    </i>
    <i>
      <x v="7"/>
    </i>
    <i>
      <x v="8"/>
    </i>
    <i>
      <x v="9"/>
    </i>
    <i>
      <x v="10"/>
    </i>
    <i>
      <x v="11"/>
    </i>
    <i>
      <x v="12"/>
    </i>
    <i t="grand">
      <x/>
    </i>
  </rowItems>
  <colFields count="1">
    <field x="-2"/>
  </colFields>
  <colItems count="2">
    <i>
      <x/>
    </i>
    <i i="1">
      <x v="1"/>
    </i>
  </colItems>
  <pageFields count="1">
    <pageField fld="0" hier="77" name="[Winter daily sitreps].[Year].&amp;[2021/22]" cap="2021/22"/>
  </pageFields>
  <dataFields count="2">
    <dataField name="Sum of Paeds RSV beds closed" fld="2" baseField="0" baseItem="0"/>
    <dataField name="Sum of Paeds RSV beds closed unocc"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13" cacheId="251" applyNumberFormats="0" applyBorderFormats="0" applyFontFormats="0" applyPatternFormats="0" applyAlignmentFormats="0" applyWidthHeightFormats="1" dataCaption="Values" tag="f3125be8-0268-4aab-a20c-9359a97ff270" updatedVersion="7" minRefreshableVersion="3" useAutoFormatting="1" subtotalHiddenItems="1" rowGrandTotals="0" itemPrintTitles="1" createdVersion="4" indent="0" outline="1" outlineData="1" multipleFieldFilters="0">
  <location ref="BG6:BJ97"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4"/>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3">
    <i>
      <x/>
    </i>
    <i i="1">
      <x v="1"/>
    </i>
    <i i="2">
      <x v="2"/>
    </i>
  </colItems>
  <pageFields count="1">
    <pageField fld="0" hier="77" name="[Winter daily sitreps].[Year].&amp;[2021/22]" cap="2021/22"/>
  </pageFields>
  <dataFields count="3">
    <dataField name="Core" fld="1" baseField="0" baseItem="0"/>
    <dataField name="Escalation" fld="2" baseField="0" baseItem="0"/>
    <dataField name="Total"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12" cacheId="254" applyNumberFormats="0" applyBorderFormats="0" applyFontFormats="0" applyPatternFormats="0" applyAlignmentFormats="0" applyWidthHeightFormats="1" dataCaption="Values" tag="ed642629-01ce-41a1-89dc-5dcfa0219d0f" updatedVersion="7" minRefreshableVersion="3" useAutoFormatting="1" subtotalHiddenItems="1" itemPrintTitles="1" createdVersion="4" indent="0" outline="1" outlineData="1" multipleFieldFilters="0">
  <location ref="W5:AU21"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sortType="ascending" defaultAttributeDrillState="1">
      <items count="8">
        <item x="0"/>
        <item x="1"/>
        <item x="2"/>
        <item x="3"/>
        <item x="4"/>
        <item x="5"/>
        <item x="6"/>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5"/>
  </rowFields>
  <rowItems count="14">
    <i>
      <x/>
    </i>
    <i>
      <x v="1"/>
    </i>
    <i>
      <x v="2"/>
    </i>
    <i>
      <x v="3"/>
    </i>
    <i>
      <x v="4"/>
    </i>
    <i>
      <x v="5"/>
    </i>
    <i>
      <x v="6"/>
    </i>
    <i>
      <x v="7"/>
    </i>
    <i>
      <x v="8"/>
    </i>
    <i>
      <x v="9"/>
    </i>
    <i>
      <x v="10"/>
    </i>
    <i>
      <x v="11"/>
    </i>
    <i>
      <x v="12"/>
    </i>
    <i t="grand">
      <x/>
    </i>
  </rowItems>
  <colFields count="2">
    <field x="3"/>
    <field x="-2"/>
  </colFields>
  <colItems count="24">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t="grand">
      <x/>
    </i>
    <i t="grand" i="1">
      <x/>
    </i>
    <i t="grand" i="2">
      <x/>
    </i>
  </colItems>
  <pageFields count="1">
    <pageField fld="0" hier="77" name="[Winter daily sitreps].[Year].&amp;[2021/22]" cap="2021/22"/>
  </pageFields>
  <dataFields count="3">
    <dataField name="Core" fld="1" baseField="0" baseItem="0"/>
    <dataField name="Escalation" fld="2" baseField="0" baseItem="0"/>
    <dataField name="Total" fld="4"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3"/>
  </rowHierarchiesUsage>
  <colHierarchiesUsage count="2">
    <colHierarchyUsage hierarchyUsage="7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0" cacheId="245" applyNumberFormats="0" applyBorderFormats="0" applyFontFormats="0" applyPatternFormats="0" applyAlignmentFormats="0" applyWidthHeightFormats="1" dataCaption="Values" tag="28dedf1c-92d5-4d53-b4e5-4da17111bb79" updatedVersion="7" minRefreshableVersion="3" useAutoFormatting="1" subtotalHiddenItems="1" itemPrintTitles="1" createdVersion="4" indent="0" outline="1" outlineData="1" multipleFieldFilters="0">
  <location ref="B5:E19"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3">
    <i>
      <x/>
    </i>
    <i i="1">
      <x v="1"/>
    </i>
    <i i="2">
      <x v="2"/>
    </i>
  </colItems>
  <pageFields count="1">
    <pageField fld="0" hier="77" name="[Winter daily sitreps].[Year].&amp;[2021/22]" cap="2021/22"/>
  </pageFields>
  <dataFields count="3">
    <dataField name="Core" fld="2" baseField="0" baseItem="0"/>
    <dataField name="Escalation" fld="3" baseField="0" baseItem="0"/>
    <dataField name="Total" fld="4"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11" cacheId="248" applyNumberFormats="0" applyBorderFormats="0" applyFontFormats="0" applyPatternFormats="0" applyAlignmentFormats="0" applyWidthHeightFormats="1" dataCaption="Values" tag="e0ec11de-981b-4052-a8fe-1e8cd442aade" updatedVersion="7" minRefreshableVersion="3" useAutoFormatting="1" subtotalHiddenItems="1" rowGrandTotals="0" colGrandTotals="0" itemPrintTitles="1" createdVersion="4" indent="0" outline="1" outlineData="1" multipleFieldFilters="0">
  <location ref="L5:O96"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s>
    </pivotField>
  </pivotFields>
  <rowFields count="1">
    <field x="4"/>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3">
    <i>
      <x/>
    </i>
    <i i="1">
      <x v="1"/>
    </i>
    <i i="2">
      <x v="2"/>
    </i>
  </colItems>
  <pageFields count="1">
    <pageField fld="0" hier="77" name="[Winter daily sitreps].[Year].&amp;[2021/22]" cap="2021/22"/>
  </pageFields>
  <dataFields count="3">
    <dataField name="Core" fld="1" baseField="0" baseItem="0"/>
    <dataField name="Escalation" fld="2" baseField="0" baseItem="0"/>
    <dataField name="Total" fld="3" baseField="0" baseItem="0"/>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6" cacheId="260" applyNumberFormats="0" applyBorderFormats="0" applyFontFormats="0" applyPatternFormats="0" applyAlignmentFormats="0" applyWidthHeightFormats="1" dataCaption="Values" tag="75108420-684c-4036-bdfe-dfd1f973e47b" updatedVersion="7" minRefreshableVersion="3" useAutoFormatting="1" subtotalHiddenItems="1" colGrandTotals="0" itemPrintTitles="1" createdVersion="4" indent="0" outline="1" outlineData="1" multipleFieldFilters="0">
  <location ref="AL5:EL133"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4">
        <item s="1" x="0"/>
        <item s="1" x="5"/>
        <item s="1" x="6"/>
        <item s="1" x="7"/>
        <item s="1" x="8"/>
        <item s="1" x="9"/>
        <item s="1" x="10"/>
        <item s="1" x="11"/>
        <item s="1" x="12"/>
        <item s="1" x="1"/>
        <item s="1" x="2"/>
        <item s="1" x="3"/>
        <item s="1" x="4"/>
        <item t="default"/>
      </items>
    </pivotField>
    <pivotField dataField="1" showAll="0"/>
  </pivotFields>
  <rowFields count="1">
    <field x="1"/>
  </rowFields>
  <rowItems count="12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t="grand">
      <x/>
    </i>
  </rowItems>
  <colFields count="2">
    <field x="3"/>
    <field x="2"/>
  </colFields>
  <colItems count="104">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i>
      <x v="10"/>
      <x/>
    </i>
    <i r="1">
      <x v="1"/>
    </i>
    <i r="1">
      <x v="2"/>
    </i>
    <i r="1">
      <x v="3"/>
    </i>
    <i r="1">
      <x v="4"/>
    </i>
    <i r="1">
      <x v="5"/>
    </i>
    <i r="1">
      <x v="6"/>
    </i>
    <i t="default">
      <x v="10"/>
    </i>
    <i>
      <x v="11"/>
      <x/>
    </i>
    <i r="1">
      <x v="1"/>
    </i>
    <i r="1">
      <x v="2"/>
    </i>
    <i r="1">
      <x v="3"/>
    </i>
    <i r="1">
      <x v="4"/>
    </i>
    <i r="1">
      <x v="5"/>
    </i>
    <i r="1">
      <x v="6"/>
    </i>
    <i t="default">
      <x v="11"/>
    </i>
    <i>
      <x v="12"/>
      <x/>
    </i>
    <i r="1">
      <x v="1"/>
    </i>
    <i r="1">
      <x v="2"/>
    </i>
    <i r="1">
      <x v="3"/>
    </i>
    <i r="1">
      <x v="4"/>
    </i>
    <i r="1">
      <x v="5"/>
    </i>
    <i r="1">
      <x v="6"/>
    </i>
    <i t="default">
      <x v="12"/>
    </i>
  </colItems>
  <pageFields count="1">
    <pageField fld="0" hier="77" name="[Winter daily sitreps].[Year].&amp;[2021/22]" cap="2021/22"/>
  </pageFields>
  <dataFields count="1">
    <dataField name="Average of GA bed occupancy" fld="4" baseField="1" baseItem="6" numFmtId="164"/>
  </dataFields>
  <pivotHierarchies count="1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1/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AE diverts"/>
    <pivotHierarchy dragToRow="0" dragToCol="0" dragToPage="0" dragToData="1" caption="Occupied"/>
    <pivotHierarchy dragToRow="0" dragToCol="0" dragToPage="0" dragToData="1" caption="Average of GA total beds occupied"/>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2">
    <colHierarchyUsage hierarchyUsage="83"/>
    <colHierarchyUsage hierarchyUsage="5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38.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5" Type="http://schemas.openxmlformats.org/officeDocument/2006/relationships/printerSettings" Target="../printerSettings/printerSettings9.bin"/><Relationship Id="rId4" Type="http://schemas.openxmlformats.org/officeDocument/2006/relationships/pivotTable" Target="../pivotTables/pivotTable4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45.xml"/><Relationship Id="rId2" Type="http://schemas.openxmlformats.org/officeDocument/2006/relationships/pivotTable" Target="../pivotTables/pivotTable44.xml"/><Relationship Id="rId1" Type="http://schemas.openxmlformats.org/officeDocument/2006/relationships/pivotTable" Target="../pivotTables/pivotTable43.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48.xml"/><Relationship Id="rId2" Type="http://schemas.openxmlformats.org/officeDocument/2006/relationships/pivotTable" Target="../pivotTables/pivotTable47.xml"/><Relationship Id="rId1" Type="http://schemas.openxmlformats.org/officeDocument/2006/relationships/pivotTable" Target="../pivotTables/pivotTable4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8.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9.xml"/><Relationship Id="rId2" Type="http://schemas.openxmlformats.org/officeDocument/2006/relationships/pivotTable" Target="../pivotTables/pivotTable28.xml"/><Relationship Id="rId1" Type="http://schemas.openxmlformats.org/officeDocument/2006/relationships/pivotTable" Target="../pivotTables/pivotTable27.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3.xml"/><Relationship Id="rId2" Type="http://schemas.openxmlformats.org/officeDocument/2006/relationships/pivotTable" Target="../pivotTables/pivotTable32.xml"/><Relationship Id="rId1" Type="http://schemas.openxmlformats.org/officeDocument/2006/relationships/pivotTable" Target="../pivotTables/pivotTable31.xml"/><Relationship Id="rId5" Type="http://schemas.openxmlformats.org/officeDocument/2006/relationships/printerSettings" Target="../printerSettings/printerSettings7.bin"/><Relationship Id="rId4"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E360"/>
  <sheetViews>
    <sheetView showGridLines="0" tabSelected="1" zoomScale="70" zoomScaleNormal="70" workbookViewId="0">
      <pane ySplit="4" topLeftCell="A330" activePane="bottomLeft" state="frozen"/>
      <selection pane="bottomLeft" activeCell="AG355" sqref="AG355:AG356"/>
    </sheetView>
  </sheetViews>
  <sheetFormatPr defaultRowHeight="14.5" x14ac:dyDescent="0.35"/>
  <cols>
    <col min="1" max="1" width="1.7265625" customWidth="1"/>
    <col min="2" max="2" width="5.26953125" customWidth="1"/>
    <col min="3" max="3" width="33" customWidth="1"/>
    <col min="4" max="4" width="10.81640625" bestFit="1" customWidth="1"/>
    <col min="5" max="5" width="9" customWidth="1"/>
    <col min="6" max="6" width="9.81640625" customWidth="1"/>
    <col min="7" max="8" width="8.7265625" customWidth="1"/>
    <col min="9" max="9" width="10.1796875" customWidth="1"/>
    <col min="10" max="10" width="9.90625" customWidth="1"/>
    <col min="11" max="11" width="8.7265625" customWidth="1"/>
    <col min="12" max="12" width="9.26953125" customWidth="1"/>
    <col min="13" max="13" width="9.7265625" customWidth="1"/>
    <col min="14" max="14" width="8.7265625" customWidth="1"/>
    <col min="15" max="15" width="8.81640625" customWidth="1"/>
    <col min="16" max="16" width="9.81640625" customWidth="1"/>
    <col min="17" max="17" width="7.453125" customWidth="1"/>
    <col min="18" max="18" width="2.81640625" customWidth="1"/>
    <col min="19" max="20" width="9.54296875" bestFit="1" customWidth="1"/>
    <col min="24" max="24" width="8.7265625" customWidth="1"/>
    <col min="25" max="25" width="2.1796875" customWidth="1"/>
    <col min="26" max="26" width="9.1796875" customWidth="1"/>
  </cols>
  <sheetData>
    <row r="2" spans="1:29" ht="84" customHeight="1" x14ac:dyDescent="0.35">
      <c r="C2" s="172" t="s">
        <v>346</v>
      </c>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row>
    <row r="4" spans="1:29" ht="15" customHeight="1" x14ac:dyDescent="0.35">
      <c r="C4" s="5"/>
      <c r="D4" s="23" t="s">
        <v>42</v>
      </c>
      <c r="E4" s="23" t="s">
        <v>43</v>
      </c>
      <c r="F4" s="23" t="s">
        <v>44</v>
      </c>
      <c r="G4" s="23" t="s">
        <v>45</v>
      </c>
      <c r="H4" s="23" t="s">
        <v>46</v>
      </c>
      <c r="I4" s="23" t="s">
        <v>47</v>
      </c>
      <c r="J4" s="23" t="s">
        <v>48</v>
      </c>
      <c r="K4" s="23" t="s">
        <v>49</v>
      </c>
      <c r="L4" s="23" t="s">
        <v>50</v>
      </c>
      <c r="M4" s="23" t="s">
        <v>51</v>
      </c>
      <c r="N4" s="23" t="s">
        <v>52</v>
      </c>
      <c r="O4" s="23" t="s">
        <v>53</v>
      </c>
      <c r="P4" s="23" t="s">
        <v>54</v>
      </c>
      <c r="Q4" s="23"/>
      <c r="S4" s="180" t="s">
        <v>27</v>
      </c>
      <c r="T4" s="180"/>
      <c r="U4" s="180"/>
      <c r="V4" s="180"/>
      <c r="W4" s="180"/>
      <c r="X4" s="180"/>
      <c r="Z4" s="180" t="s">
        <v>3</v>
      </c>
      <c r="AA4" s="180"/>
      <c r="AB4" s="180"/>
      <c r="AC4" s="180"/>
    </row>
    <row r="5" spans="1:29" ht="7.5" customHeight="1" x14ac:dyDescent="0.35">
      <c r="B5" s="6"/>
      <c r="C5" s="5"/>
      <c r="D5" s="24">
        <v>1</v>
      </c>
      <c r="E5" s="24">
        <v>2</v>
      </c>
      <c r="F5" s="24">
        <v>3</v>
      </c>
      <c r="G5" s="24">
        <v>4</v>
      </c>
      <c r="H5" s="24">
        <v>5</v>
      </c>
      <c r="I5" s="24">
        <v>6</v>
      </c>
      <c r="J5" s="24">
        <v>7</v>
      </c>
      <c r="K5" s="24">
        <v>8</v>
      </c>
      <c r="L5" s="24">
        <v>9</v>
      </c>
      <c r="M5" s="24">
        <v>10</v>
      </c>
      <c r="N5" s="24">
        <v>11</v>
      </c>
      <c r="O5" s="24">
        <v>12</v>
      </c>
      <c r="P5" s="24">
        <v>13</v>
      </c>
      <c r="Q5" s="24">
        <v>14</v>
      </c>
    </row>
    <row r="6" spans="1:29" ht="15" customHeight="1" x14ac:dyDescent="0.35">
      <c r="A6" s="103"/>
      <c r="B6" s="168" t="s">
        <v>2</v>
      </c>
      <c r="C6" s="1" t="s">
        <v>283</v>
      </c>
      <c r="D6" s="75">
        <v>18</v>
      </c>
      <c r="E6" s="75">
        <v>44</v>
      </c>
      <c r="F6" s="75">
        <v>26</v>
      </c>
      <c r="G6" s="75">
        <v>22</v>
      </c>
      <c r="H6" s="75">
        <v>20</v>
      </c>
      <c r="I6" s="75">
        <v>25</v>
      </c>
      <c r="J6" s="75">
        <v>15</v>
      </c>
      <c r="K6" s="75">
        <v>24</v>
      </c>
      <c r="L6" s="75">
        <v>14</v>
      </c>
      <c r="M6" s="75">
        <v>13</v>
      </c>
      <c r="N6" s="75">
        <v>18</v>
      </c>
      <c r="O6" s="75">
        <v>22</v>
      </c>
      <c r="P6" s="75">
        <v>17</v>
      </c>
      <c r="Q6" s="64"/>
      <c r="Z6" s="169" t="s">
        <v>25</v>
      </c>
      <c r="AA6" s="169"/>
      <c r="AB6" s="169"/>
      <c r="AC6" s="169"/>
    </row>
    <row r="7" spans="1:29" ht="7.5" customHeight="1" x14ac:dyDescent="0.35">
      <c r="A7" s="103"/>
      <c r="B7" s="168"/>
      <c r="C7" s="1"/>
      <c r="D7" s="24">
        <v>28</v>
      </c>
      <c r="E7" s="24">
        <v>24</v>
      </c>
      <c r="F7" s="24">
        <v>23</v>
      </c>
      <c r="G7" s="24">
        <v>20</v>
      </c>
      <c r="H7" s="24">
        <v>28</v>
      </c>
      <c r="I7" s="24">
        <v>27</v>
      </c>
      <c r="J7" s="24">
        <v>20</v>
      </c>
      <c r="K7" s="24">
        <v>25</v>
      </c>
      <c r="L7" s="24">
        <v>14</v>
      </c>
      <c r="M7" s="24">
        <v>26</v>
      </c>
      <c r="N7" s="24">
        <v>32</v>
      </c>
      <c r="O7" s="24">
        <v>22</v>
      </c>
      <c r="P7" s="24">
        <v>24</v>
      </c>
      <c r="Q7" s="64"/>
      <c r="Z7" s="169"/>
      <c r="AA7" s="169"/>
      <c r="AB7" s="169"/>
      <c r="AC7" s="169"/>
    </row>
    <row r="8" spans="1:29" x14ac:dyDescent="0.35">
      <c r="A8" s="103"/>
      <c r="B8" s="168"/>
      <c r="C8" s="16" t="s">
        <v>295</v>
      </c>
      <c r="D8" s="97">
        <f>IFERROR(VLOOKUP(D$4,'A&amp;E diverts'!$P$3:$X$16,2,FALSE),"")</f>
        <v>25</v>
      </c>
      <c r="E8" s="104">
        <f>IFERROR(VLOOKUP(E$4,'A&amp;E diverts'!$P$3:$X$16,2,FALSE),"")</f>
        <v>28</v>
      </c>
      <c r="F8" s="104">
        <f>IFERROR(VLOOKUP(F$4,'A&amp;E diverts'!$P$3:$X$16,2,FALSE),"")</f>
        <v>13</v>
      </c>
      <c r="G8" s="104">
        <f>IFERROR(VLOOKUP(G$4,'A&amp;E diverts'!$P$3:$X$16,2,FALSE),"")</f>
        <v>15</v>
      </c>
      <c r="H8" s="104">
        <f>IFERROR(VLOOKUP(H$4,'A&amp;E diverts'!$P$3:$X$16,2,FALSE),"")</f>
        <v>21</v>
      </c>
      <c r="I8" s="104">
        <f>IFERROR(VLOOKUP(I$4,'A&amp;E diverts'!$P$3:$X$16,2,FALSE),"")</f>
        <v>23</v>
      </c>
      <c r="J8" s="104">
        <f>IFERROR(VLOOKUP(J$4,'A&amp;E diverts'!$P$3:$X$16,2,FALSE),"")</f>
        <v>25</v>
      </c>
      <c r="K8" s="104">
        <f>IFERROR(VLOOKUP(K$4,'A&amp;E diverts'!$P$3:$X$16,2,FALSE),"")</f>
        <v>28</v>
      </c>
      <c r="L8" s="104">
        <f>IFERROR(VLOOKUP(L$4,'A&amp;E diverts'!$P$3:$X$16,2,FALSE),"")</f>
        <v>23</v>
      </c>
      <c r="M8" s="104">
        <f>IFERROR(VLOOKUP(M$4,'A&amp;E diverts'!$P$3:$X$16,2,FALSE),"")</f>
        <v>13</v>
      </c>
      <c r="N8" s="104">
        <f>IFERROR(VLOOKUP(N$4,'A&amp;E diverts'!$P$3:$X$16,2,FALSE),"")</f>
        <v>23</v>
      </c>
      <c r="O8" s="104">
        <f>IFERROR(VLOOKUP(O$4,'A&amp;E diverts'!$P$3:$X$16,2,FALSE),"")</f>
        <v>32</v>
      </c>
      <c r="P8" s="104">
        <f>IFERROR(VLOOKUP(P$4,'A&amp;E diverts'!$P$3:$X$16,2,FALSE),"")</f>
        <v>22</v>
      </c>
      <c r="Q8" s="73"/>
      <c r="Z8" s="169"/>
      <c r="AA8" s="169"/>
      <c r="AB8" s="169"/>
      <c r="AC8" s="169"/>
    </row>
    <row r="9" spans="1:29" x14ac:dyDescent="0.35">
      <c r="A9" s="103"/>
      <c r="B9" s="168"/>
      <c r="C9" s="1" t="s">
        <v>1</v>
      </c>
      <c r="D9" s="152">
        <f>IFERROR(VLOOKUP(D$4,'A&amp;E diverts'!$P$3:$X$16,3,FALSE),"")</f>
        <v>0</v>
      </c>
      <c r="E9" s="152">
        <f>IFERROR(VLOOKUP(E$4,'A&amp;E diverts'!$P$3:$X$16,3,FALSE),"")</f>
        <v>0</v>
      </c>
      <c r="F9" s="152">
        <f>IFERROR(VLOOKUP(F$4,'A&amp;E diverts'!$P$3:$X$16,3,FALSE),"")</f>
        <v>0</v>
      </c>
      <c r="G9" s="152">
        <f>IFERROR(VLOOKUP(G$4,'A&amp;E diverts'!$P$3:$X$16,3,FALSE),"")</f>
        <v>0</v>
      </c>
      <c r="H9" s="152">
        <f>IFERROR(VLOOKUP(H$4,'A&amp;E diverts'!$P$3:$X$16,3,FALSE),"")</f>
        <v>1</v>
      </c>
      <c r="I9" s="152">
        <f>IFERROR(VLOOKUP(I$4,'A&amp;E diverts'!$P$3:$X$16,3,FALSE),"")</f>
        <v>0</v>
      </c>
      <c r="J9" s="152">
        <f>IFERROR(VLOOKUP(J$4,'A&amp;E diverts'!$P$3:$X$16,3,FALSE),"")</f>
        <v>0</v>
      </c>
      <c r="K9" s="152">
        <f>IFERROR(VLOOKUP(K$4,'A&amp;E diverts'!$P$3:$X$16,3,FALSE),"")</f>
        <v>0</v>
      </c>
      <c r="L9" s="152">
        <f>IFERROR(VLOOKUP(L$4,'A&amp;E diverts'!$P$3:$X$16,3,FALSE),"")</f>
        <v>0</v>
      </c>
      <c r="M9" s="152">
        <f>IFERROR(VLOOKUP(M$4,'A&amp;E diverts'!$P$3:$X$16,3,FALSE),"")</f>
        <v>0</v>
      </c>
      <c r="N9" s="152">
        <f>IFERROR(VLOOKUP(N$4,'A&amp;E diverts'!$P$3:$X$16,3,FALSE),"")</f>
        <v>0</v>
      </c>
      <c r="O9" s="152">
        <f>IFERROR(VLOOKUP(O$4,'A&amp;E diverts'!$P$3:$X$16,3,FALSE),"")</f>
        <v>1</v>
      </c>
      <c r="P9" s="152">
        <f>IFERROR(VLOOKUP(P$4,'A&amp;E diverts'!$P$3:$X$16,3,FALSE),"")</f>
        <v>0</v>
      </c>
      <c r="Q9" s="74"/>
      <c r="Z9" s="169"/>
      <c r="AA9" s="169"/>
      <c r="AB9" s="169"/>
      <c r="AC9" s="169"/>
    </row>
    <row r="10" spans="1:29" x14ac:dyDescent="0.35">
      <c r="A10" s="103"/>
      <c r="B10" s="168"/>
      <c r="C10" s="1" t="s">
        <v>220</v>
      </c>
      <c r="D10" s="152">
        <f>IFERROR(VLOOKUP(D$4,'A&amp;E diverts'!$P$3:$X$16,4,FALSE),"")</f>
        <v>8</v>
      </c>
      <c r="E10" s="152">
        <f>IFERROR(VLOOKUP(E$4,'A&amp;E diverts'!$P$3:$X$16,4,FALSE),"")</f>
        <v>17</v>
      </c>
      <c r="F10" s="152">
        <f>IFERROR(VLOOKUP(F$4,'A&amp;E diverts'!$P$3:$X$16,4,FALSE),"")</f>
        <v>8</v>
      </c>
      <c r="G10" s="152">
        <f>IFERROR(VLOOKUP(G$4,'A&amp;E diverts'!$P$3:$X$16,4,FALSE),"")</f>
        <v>10</v>
      </c>
      <c r="H10" s="152">
        <f>IFERROR(VLOOKUP(H$4,'A&amp;E diverts'!$P$3:$X$16,4,FALSE),"")</f>
        <v>10</v>
      </c>
      <c r="I10" s="152">
        <f>IFERROR(VLOOKUP(I$4,'A&amp;E diverts'!$P$3:$X$16,4,FALSE),"")</f>
        <v>14</v>
      </c>
      <c r="J10" s="152">
        <f>IFERROR(VLOOKUP(J$4,'A&amp;E diverts'!$P$3:$X$16,4,FALSE),"")</f>
        <v>11</v>
      </c>
      <c r="K10" s="152">
        <f>IFERROR(VLOOKUP(K$4,'A&amp;E diverts'!$P$3:$X$16,4,FALSE),"")</f>
        <v>8</v>
      </c>
      <c r="L10" s="152">
        <f>IFERROR(VLOOKUP(L$4,'A&amp;E diverts'!$P$3:$X$16,4,FALSE),"")</f>
        <v>7</v>
      </c>
      <c r="M10" s="152">
        <f>IFERROR(VLOOKUP(M$4,'A&amp;E diverts'!$P$3:$X$16,4,FALSE),"")</f>
        <v>10</v>
      </c>
      <c r="N10" s="152">
        <f>IFERROR(VLOOKUP(N$4,'A&amp;E diverts'!$P$3:$X$16,4,FALSE),"")</f>
        <v>17</v>
      </c>
      <c r="O10" s="152">
        <f>IFERROR(VLOOKUP(O$4,'A&amp;E diverts'!$P$3:$X$16,4,FALSE),"")</f>
        <v>22</v>
      </c>
      <c r="P10" s="152">
        <f>IFERROR(VLOOKUP(P$4,'A&amp;E diverts'!$P$3:$X$16,4,FALSE),"")</f>
        <v>13</v>
      </c>
      <c r="Q10" s="74" t="str">
        <f>IFERROR(VLOOKUP(Q$4,'A&amp;E diverts'!$P$3:$W$17,4,FALSE),"")</f>
        <v/>
      </c>
      <c r="Z10" s="173" t="s">
        <v>320</v>
      </c>
      <c r="AA10" s="173"/>
      <c r="AB10" s="173"/>
      <c r="AC10" s="173"/>
    </row>
    <row r="11" spans="1:29" x14ac:dyDescent="0.35">
      <c r="A11" s="103"/>
      <c r="B11" s="168"/>
      <c r="C11" s="1" t="s">
        <v>248</v>
      </c>
      <c r="D11" s="152">
        <f>IFERROR(VLOOKUP(D$4,'A&amp;E diverts'!$P$3:$X$16,8,FALSE),"")</f>
        <v>0</v>
      </c>
      <c r="E11" s="152">
        <f>IFERROR(VLOOKUP(E$4,'A&amp;E diverts'!$P$3:$X$16,8,FALSE),"")</f>
        <v>0</v>
      </c>
      <c r="F11" s="152">
        <f>IFERROR(VLOOKUP(F$4,'A&amp;E diverts'!$P$3:$X$16,8,FALSE),"")</f>
        <v>0</v>
      </c>
      <c r="G11" s="152">
        <f>IFERROR(VLOOKUP(G$4,'A&amp;E diverts'!$P$3:$X$16,8,FALSE),"")</f>
        <v>1</v>
      </c>
      <c r="H11" s="152">
        <f>IFERROR(VLOOKUP(H$4,'A&amp;E diverts'!$P$3:$X$16,8,FALSE),"")</f>
        <v>0</v>
      </c>
      <c r="I11" s="152">
        <f>IFERROR(VLOOKUP(I$4,'A&amp;E diverts'!$P$3:$X$16,8,FALSE),"")</f>
        <v>0</v>
      </c>
      <c r="J11" s="152">
        <f>IFERROR(VLOOKUP(J$4,'A&amp;E diverts'!$P$3:$X$16,8,FALSE),"")</f>
        <v>0</v>
      </c>
      <c r="K11" s="152">
        <f>IFERROR(VLOOKUP(K$4,'A&amp;E diverts'!$P$3:$X$16,8,FALSE),"")</f>
        <v>0</v>
      </c>
      <c r="L11" s="152">
        <f>IFERROR(VLOOKUP(L$4,'A&amp;E diverts'!$P$3:$X$16,8,FALSE),"")</f>
        <v>0</v>
      </c>
      <c r="M11" s="152">
        <f>IFERROR(VLOOKUP(M$4,'A&amp;E diverts'!$P$3:$X$16,8,FALSE),"")</f>
        <v>0</v>
      </c>
      <c r="N11" s="152">
        <f>IFERROR(VLOOKUP(N$4,'A&amp;E diverts'!$P$3:$X$16,8,FALSE),"")</f>
        <v>0</v>
      </c>
      <c r="O11" s="152">
        <f>IFERROR(VLOOKUP(O$4,'A&amp;E diverts'!$P$3:$X$16,8,FALSE),"")</f>
        <v>0</v>
      </c>
      <c r="P11" s="152">
        <f>IFERROR(VLOOKUP(P$4,'A&amp;E diverts'!$P$3:$X$16,8,FALSE),"")</f>
        <v>0</v>
      </c>
      <c r="Q11" s="74"/>
      <c r="Z11" s="173"/>
      <c r="AA11" s="173"/>
      <c r="AB11" s="173"/>
      <c r="AC11" s="173"/>
    </row>
    <row r="12" spans="1:29" x14ac:dyDescent="0.35">
      <c r="A12" s="103"/>
      <c r="B12" s="168"/>
      <c r="C12" s="1" t="s">
        <v>249</v>
      </c>
      <c r="D12" s="152">
        <f>IFERROR(VLOOKUP(D$4,'A&amp;E diverts'!$P$3:$X$16,5,FALSE),"")</f>
        <v>6</v>
      </c>
      <c r="E12" s="152">
        <f>IFERROR(VLOOKUP(E$4,'A&amp;E diverts'!$P$3:$X$16,5,FALSE),"")</f>
        <v>5</v>
      </c>
      <c r="F12" s="152">
        <f>IFERROR(VLOOKUP(F$4,'A&amp;E diverts'!$P$3:$X$16,5,FALSE),"")</f>
        <v>3</v>
      </c>
      <c r="G12" s="152">
        <f>IFERROR(VLOOKUP(G$4,'A&amp;E diverts'!$P$3:$X$16,5,FALSE),"")</f>
        <v>0</v>
      </c>
      <c r="H12" s="152">
        <f>IFERROR(VLOOKUP(H$4,'A&amp;E diverts'!$P$3:$X$16,5,FALSE),"")</f>
        <v>4</v>
      </c>
      <c r="I12" s="152">
        <f>IFERROR(VLOOKUP(I$4,'A&amp;E diverts'!$P$3:$X$16,5,FALSE),"")</f>
        <v>1</v>
      </c>
      <c r="J12" s="152">
        <f>IFERROR(VLOOKUP(J$4,'A&amp;E diverts'!$P$3:$X$16,5,FALSE),"")</f>
        <v>2</v>
      </c>
      <c r="K12" s="152">
        <f>IFERROR(VLOOKUP(K$4,'A&amp;E diverts'!$P$3:$X$16,5,FALSE),"")</f>
        <v>2</v>
      </c>
      <c r="L12" s="152">
        <f>IFERROR(VLOOKUP(L$4,'A&amp;E diverts'!$P$3:$X$16,5,FALSE),"")</f>
        <v>7</v>
      </c>
      <c r="M12" s="152">
        <f>IFERROR(VLOOKUP(M$4,'A&amp;E diverts'!$P$3:$X$16,5,FALSE),"")</f>
        <v>3</v>
      </c>
      <c r="N12" s="152">
        <f>IFERROR(VLOOKUP(N$4,'A&amp;E diverts'!$P$3:$X$16,5,FALSE),"")</f>
        <v>1</v>
      </c>
      <c r="O12" s="152">
        <f>IFERROR(VLOOKUP(O$4,'A&amp;E diverts'!$P$3:$X$16,5,FALSE),"")</f>
        <v>2</v>
      </c>
      <c r="P12" s="152">
        <f>IFERROR(VLOOKUP(P$4,'A&amp;E diverts'!$P$3:$X$16,5,FALSE),"")</f>
        <v>3</v>
      </c>
      <c r="Q12" s="74"/>
      <c r="Z12" s="173"/>
      <c r="AA12" s="173"/>
      <c r="AB12" s="173"/>
      <c r="AC12" s="173"/>
    </row>
    <row r="13" spans="1:29" x14ac:dyDescent="0.35">
      <c r="A13" s="103"/>
      <c r="B13" s="168"/>
      <c r="C13" s="1" t="s">
        <v>250</v>
      </c>
      <c r="D13" s="152">
        <f>IFERROR(VLOOKUP(D$4,'A&amp;E diverts'!$P$3:$X$16,9,FALSE),"")</f>
        <v>0</v>
      </c>
      <c r="E13" s="152">
        <f>IFERROR(VLOOKUP(E$4,'A&amp;E diverts'!$P$3:$X$16,9,FALSE),"")</f>
        <v>5</v>
      </c>
      <c r="F13" s="152">
        <f>IFERROR(VLOOKUP(F$4,'A&amp;E diverts'!$P$3:$X$16,9,FALSE),"")</f>
        <v>0</v>
      </c>
      <c r="G13" s="152">
        <f>IFERROR(VLOOKUP(G$4,'A&amp;E diverts'!$P$3:$X$16,9,FALSE),"")</f>
        <v>0</v>
      </c>
      <c r="H13" s="152">
        <f>IFERROR(VLOOKUP(H$4,'A&amp;E diverts'!$P$3:$X$16,9,FALSE),"")</f>
        <v>0</v>
      </c>
      <c r="I13" s="152">
        <f>IFERROR(VLOOKUP(I$4,'A&amp;E diverts'!$P$3:$X$16,9,FALSE),"")</f>
        <v>0</v>
      </c>
      <c r="J13" s="152">
        <f>IFERROR(VLOOKUP(J$4,'A&amp;E diverts'!$P$3:$X$16,9,FALSE),"")</f>
        <v>0</v>
      </c>
      <c r="K13" s="152">
        <f>IFERROR(VLOOKUP(K$4,'A&amp;E diverts'!$P$3:$X$16,9,FALSE),"")</f>
        <v>1</v>
      </c>
      <c r="L13" s="152">
        <f>IFERROR(VLOOKUP(L$4,'A&amp;E diverts'!$P$3:$X$16,9,FALSE),"")</f>
        <v>2</v>
      </c>
      <c r="M13" s="152">
        <f>IFERROR(VLOOKUP(M$4,'A&amp;E diverts'!$P$3:$X$16,9,FALSE),"")</f>
        <v>0</v>
      </c>
      <c r="N13" s="152">
        <f>IFERROR(VLOOKUP(N$4,'A&amp;E diverts'!$P$3:$X$16,9,FALSE),"")</f>
        <v>0</v>
      </c>
      <c r="O13" s="152">
        <f>IFERROR(VLOOKUP(O$4,'A&amp;E diverts'!$P$3:$X$16,9,FALSE),"")</f>
        <v>3</v>
      </c>
      <c r="P13" s="152">
        <f>IFERROR(VLOOKUP(P$4,'A&amp;E diverts'!$P$3:$X$16,9,FALSE),"")</f>
        <v>0</v>
      </c>
      <c r="Q13" s="74" t="str">
        <f>IFERROR(VLOOKUP(Q$4,'A&amp;E diverts'!$P$3:$W$17,5,FALSE),"")</f>
        <v/>
      </c>
      <c r="Z13" s="173"/>
      <c r="AA13" s="173"/>
      <c r="AB13" s="173"/>
      <c r="AC13" s="173"/>
    </row>
    <row r="14" spans="1:29" x14ac:dyDescent="0.35">
      <c r="A14" s="103"/>
      <c r="B14" s="168"/>
      <c r="C14" s="1" t="s">
        <v>217</v>
      </c>
      <c r="D14" s="152">
        <f>IFERROR(VLOOKUP(D$4,'A&amp;E diverts'!$P$3:$X$16,6,FALSE),"")</f>
        <v>11</v>
      </c>
      <c r="E14" s="152">
        <f>IFERROR(VLOOKUP(E$4,'A&amp;E diverts'!$P$3:$X$16,6,FALSE),"")</f>
        <v>1</v>
      </c>
      <c r="F14" s="152">
        <f>IFERROR(VLOOKUP(F$4,'A&amp;E diverts'!$P$3:$X$16,6,FALSE),"")</f>
        <v>2</v>
      </c>
      <c r="G14" s="152">
        <f>IFERROR(VLOOKUP(G$4,'A&amp;E diverts'!$P$3:$X$16,6,FALSE),"")</f>
        <v>4</v>
      </c>
      <c r="H14" s="152">
        <f>IFERROR(VLOOKUP(H$4,'A&amp;E diverts'!$P$3:$X$16,6,FALSE),"")</f>
        <v>6</v>
      </c>
      <c r="I14" s="152">
        <f>IFERROR(VLOOKUP(I$4,'A&amp;E diverts'!$P$3:$X$16,6,FALSE),"")</f>
        <v>8</v>
      </c>
      <c r="J14" s="152">
        <f>IFERROR(VLOOKUP(J$4,'A&amp;E diverts'!$P$3:$X$16,6,FALSE),"")</f>
        <v>12</v>
      </c>
      <c r="K14" s="152">
        <f>IFERROR(VLOOKUP(K$4,'A&amp;E diverts'!$P$3:$X$16,6,FALSE),"")</f>
        <v>17</v>
      </c>
      <c r="L14" s="152">
        <f>IFERROR(VLOOKUP(L$4,'A&amp;E diverts'!$P$3:$X$16,6,FALSE),"")</f>
        <v>7</v>
      </c>
      <c r="M14" s="152">
        <f>IFERROR(VLOOKUP(M$4,'A&amp;E diverts'!$P$3:$X$16,6,FALSE),"")</f>
        <v>0</v>
      </c>
      <c r="N14" s="152">
        <f>IFERROR(VLOOKUP(N$4,'A&amp;E diverts'!$P$3:$X$16,6,FALSE),"")</f>
        <v>5</v>
      </c>
      <c r="O14" s="152">
        <f>IFERROR(VLOOKUP(O$4,'A&amp;E diverts'!$P$3:$X$16,6,FALSE),"")</f>
        <v>4</v>
      </c>
      <c r="P14" s="152">
        <f>IFERROR(VLOOKUP(P$4,'A&amp;E diverts'!$P$3:$X$16,6,FALSE),"")</f>
        <v>6</v>
      </c>
      <c r="Q14" s="74" t="str">
        <f>IFERROR(VLOOKUP(Q$4,'A&amp;E diverts'!$P$3:$W$17,6,FALSE),"")</f>
        <v/>
      </c>
      <c r="Z14" s="173"/>
      <c r="AA14" s="173"/>
      <c r="AB14" s="173"/>
      <c r="AC14" s="173"/>
    </row>
    <row r="15" spans="1:29" x14ac:dyDescent="0.35">
      <c r="A15" s="103"/>
      <c r="B15" s="168"/>
      <c r="C15" s="11" t="s">
        <v>218</v>
      </c>
      <c r="D15" s="152">
        <f>IFERROR(VLOOKUP(D$4,'A&amp;E diverts'!$P$3:$X$16,7,FALSE),"")</f>
        <v>0</v>
      </c>
      <c r="E15" s="152">
        <f>IFERROR(VLOOKUP(E$4,'A&amp;E diverts'!$P$3:$X$16,7,FALSE),"")</f>
        <v>0</v>
      </c>
      <c r="F15" s="152">
        <f>IFERROR(VLOOKUP(F$4,'A&amp;E diverts'!$P$3:$X$16,7,FALSE),"")</f>
        <v>0</v>
      </c>
      <c r="G15" s="152">
        <f>IFERROR(VLOOKUP(G$4,'A&amp;E diverts'!$P$3:$X$16,7,FALSE),"")</f>
        <v>0</v>
      </c>
      <c r="H15" s="152">
        <f>IFERROR(VLOOKUP(H$4,'A&amp;E diverts'!$P$3:$X$16,7,FALSE),"")</f>
        <v>0</v>
      </c>
      <c r="I15" s="152">
        <f>IFERROR(VLOOKUP(I$4,'A&amp;E diverts'!$P$3:$X$16,7,FALSE),"")</f>
        <v>0</v>
      </c>
      <c r="J15" s="152">
        <f>IFERROR(VLOOKUP(J$4,'A&amp;E diverts'!$P$3:$X$16,7,FALSE),"")</f>
        <v>0</v>
      </c>
      <c r="K15" s="152">
        <f>IFERROR(VLOOKUP(K$4,'A&amp;E diverts'!$P$3:$X$16,7,FALSE),"")</f>
        <v>0</v>
      </c>
      <c r="L15" s="152">
        <f>IFERROR(VLOOKUP(L$4,'A&amp;E diverts'!$P$3:$X$16,7,FALSE),"")</f>
        <v>0</v>
      </c>
      <c r="M15" s="152">
        <f>IFERROR(VLOOKUP(M$4,'A&amp;E diverts'!$P$3:$X$16,7,FALSE),"")</f>
        <v>0</v>
      </c>
      <c r="N15" s="152">
        <f>IFERROR(VLOOKUP(N$4,'A&amp;E diverts'!$P$3:$X$16,7,FALSE),"")</f>
        <v>0</v>
      </c>
      <c r="O15" s="152">
        <f>IFERROR(VLOOKUP(O$4,'A&amp;E diverts'!$P$3:$X$16,7,FALSE),"")</f>
        <v>0</v>
      </c>
      <c r="P15" s="152">
        <f>IFERROR(VLOOKUP(P$4,'A&amp;E diverts'!$P$3:$X$16,7,FALSE),"")</f>
        <v>0</v>
      </c>
      <c r="Q15" s="74" t="str">
        <f>IFERROR(VLOOKUP(Q$4,'A&amp;E diverts'!$P$3:$W$17,7,FALSE),"")</f>
        <v/>
      </c>
      <c r="Z15" s="173"/>
      <c r="AA15" s="173"/>
      <c r="AB15" s="173"/>
      <c r="AC15" s="173"/>
    </row>
    <row r="16" spans="1:29" ht="7.5" customHeight="1" x14ac:dyDescent="0.35">
      <c r="A16" s="103"/>
      <c r="B16" s="168"/>
      <c r="Z16" s="173"/>
      <c r="AA16" s="173"/>
      <c r="AB16" s="173"/>
      <c r="AC16" s="173"/>
    </row>
    <row r="17" spans="1:31" x14ac:dyDescent="0.35">
      <c r="A17" s="103"/>
      <c r="B17" s="168"/>
      <c r="C17" s="1" t="s">
        <v>26</v>
      </c>
      <c r="D17" s="177" t="s">
        <v>283</v>
      </c>
      <c r="E17" s="178"/>
      <c r="F17" s="179"/>
      <c r="G17" s="174" t="s">
        <v>296</v>
      </c>
      <c r="H17" s="174"/>
      <c r="I17" s="174"/>
      <c r="J17" s="174"/>
      <c r="K17" s="181" t="s">
        <v>295</v>
      </c>
      <c r="L17" s="181"/>
      <c r="M17" s="181"/>
      <c r="N17" s="176" t="str">
        <f>'A&amp;E diverts'!AD5&amp;" ("&amp;TEXT('A&amp;E diverts'!AD7,"d-mmm")&amp;")"</f>
        <v>8 (9-Jan)</v>
      </c>
      <c r="O17" s="176"/>
      <c r="P17" s="176"/>
      <c r="Q17" s="76"/>
      <c r="Z17" s="173"/>
      <c r="AA17" s="173"/>
      <c r="AB17" s="173"/>
      <c r="AC17" s="173"/>
    </row>
    <row r="18" spans="1:31" ht="7.5" customHeight="1" x14ac:dyDescent="0.35">
      <c r="A18" s="103"/>
      <c r="B18" s="168"/>
      <c r="C18" s="1"/>
      <c r="K18" s="4"/>
      <c r="L18" s="4"/>
      <c r="M18" s="4"/>
      <c r="N18" s="4"/>
      <c r="O18" s="4"/>
      <c r="P18" s="4"/>
      <c r="Q18" s="77"/>
      <c r="Z18" s="173"/>
      <c r="AA18" s="173"/>
      <c r="AB18" s="173"/>
      <c r="AC18" s="173"/>
    </row>
    <row r="19" spans="1:31" x14ac:dyDescent="0.35">
      <c r="A19" s="103"/>
      <c r="B19" s="168"/>
      <c r="C19" s="1" t="s">
        <v>24</v>
      </c>
      <c r="D19" s="174" t="s">
        <v>283</v>
      </c>
      <c r="E19" s="174"/>
      <c r="F19" s="174"/>
      <c r="G19" s="174" t="s">
        <v>297</v>
      </c>
      <c r="H19" s="174"/>
      <c r="I19" s="174"/>
      <c r="J19" s="174"/>
      <c r="K19" s="181" t="s">
        <v>295</v>
      </c>
      <c r="L19" s="181"/>
      <c r="M19" s="181"/>
      <c r="N19" s="176" t="str">
        <f>'A&amp;E diverts'!AI5&amp;" out of "&amp;'A&amp;E diverts'!AI6&amp;" ("&amp;TEXT('A&amp;E diverts'!AI7,"0%")&amp;")"</f>
        <v>3 out of 91 (3%)</v>
      </c>
      <c r="O19" s="176"/>
      <c r="P19" s="176"/>
      <c r="Q19" s="76"/>
      <c r="R19" s="58"/>
      <c r="Z19" s="173"/>
      <c r="AA19" s="173"/>
      <c r="AB19" s="173"/>
      <c r="AC19" s="173"/>
      <c r="AE19" s="38"/>
    </row>
    <row r="20" spans="1:31" ht="30" customHeight="1" x14ac:dyDescent="0.35">
      <c r="C20" s="1"/>
    </row>
    <row r="21" spans="1:31" ht="15" hidden="1" customHeight="1" x14ac:dyDescent="0.35">
      <c r="B21" s="168" t="s">
        <v>199</v>
      </c>
      <c r="C21" s="12" t="s">
        <v>243</v>
      </c>
      <c r="D21" s="119">
        <v>93650.428571428565</v>
      </c>
      <c r="E21" s="119">
        <v>93161.71428571429</v>
      </c>
      <c r="F21" s="119">
        <v>92488.71428571429</v>
      </c>
      <c r="G21" s="119">
        <v>93346.71428571429</v>
      </c>
      <c r="H21" s="119">
        <v>93925.857142857145</v>
      </c>
      <c r="I21" s="119">
        <v>94001.571428571435</v>
      </c>
      <c r="J21" s="119">
        <v>93775.71428571429</v>
      </c>
      <c r="K21" s="119">
        <v>93805.28571428571</v>
      </c>
      <c r="L21" s="119">
        <v>94035.71428571429</v>
      </c>
      <c r="M21" s="119">
        <v>93641</v>
      </c>
      <c r="N21" s="119">
        <v>93906.571428571435</v>
      </c>
      <c r="O21" s="119">
        <v>94013.142857142855</v>
      </c>
      <c r="P21" s="119">
        <v>93559.428571428565</v>
      </c>
    </row>
    <row r="22" spans="1:31" ht="15" hidden="1" customHeight="1" x14ac:dyDescent="0.35">
      <c r="B22" s="168"/>
      <c r="C22" s="1" t="s">
        <v>247</v>
      </c>
      <c r="D22" s="128">
        <v>93502.857142857145</v>
      </c>
      <c r="E22" s="128">
        <v>93719</v>
      </c>
      <c r="F22" s="128">
        <v>93699.28571428571</v>
      </c>
      <c r="G22" s="128">
        <v>93230.428571428565</v>
      </c>
      <c r="H22" s="128">
        <v>93207.71428571429</v>
      </c>
      <c r="I22" s="128">
        <v>93977</v>
      </c>
      <c r="J22" s="128">
        <v>94063.28571428571</v>
      </c>
      <c r="K22" s="128">
        <v>94130.142857142855</v>
      </c>
      <c r="L22" s="128">
        <v>93986.71428571429</v>
      </c>
      <c r="M22" s="128">
        <v>93993.857142857145</v>
      </c>
      <c r="N22" s="128">
        <v>94272</v>
      </c>
      <c r="O22" s="128">
        <v>94287.71428571429</v>
      </c>
      <c r="P22" s="128">
        <v>94002.71428571429</v>
      </c>
      <c r="Z22" s="169"/>
      <c r="AA22" s="169"/>
      <c r="AB22" s="169"/>
      <c r="AC22" s="169"/>
    </row>
    <row r="23" spans="1:31" ht="7.5" hidden="1" customHeight="1" x14ac:dyDescent="0.35">
      <c r="B23" s="168"/>
      <c r="C23" s="1"/>
      <c r="D23" s="30">
        <v>93649.571428571435</v>
      </c>
      <c r="E23" s="30">
        <v>93473.142857142855</v>
      </c>
      <c r="F23" s="30">
        <v>93407.857142857145</v>
      </c>
      <c r="G23" s="30">
        <v>92975.571428571435</v>
      </c>
      <c r="H23" s="30">
        <v>93152.428571428565</v>
      </c>
      <c r="I23" s="30">
        <v>93636.28571428571</v>
      </c>
      <c r="J23" s="30">
        <v>93877.142857142855</v>
      </c>
      <c r="K23" s="30">
        <v>93919.28571428571</v>
      </c>
      <c r="L23" s="30">
        <v>94246.428571428565</v>
      </c>
      <c r="M23" s="30">
        <v>94095.857142857145</v>
      </c>
      <c r="N23" s="30">
        <v>94323</v>
      </c>
      <c r="O23" s="30">
        <v>94216.428571428565</v>
      </c>
      <c r="P23" s="30">
        <v>94254.28571428571</v>
      </c>
      <c r="Q23" s="30">
        <v>0.85</v>
      </c>
      <c r="Z23" s="169"/>
      <c r="AA23" s="169"/>
      <c r="AB23" s="169"/>
      <c r="AC23" s="169"/>
    </row>
    <row r="24" spans="1:31" hidden="1" x14ac:dyDescent="0.35">
      <c r="B24" s="168"/>
      <c r="C24" s="16" t="s">
        <v>283</v>
      </c>
      <c r="D24" s="134" t="s">
        <v>293</v>
      </c>
      <c r="E24" s="121">
        <f>IFERROR(VLOOKUP(E$4,'G&amp;A bed avail.'!$AW$5:$BE$18,2,FALSE),"")</f>
        <v>0</v>
      </c>
      <c r="F24" s="121">
        <f>IFERROR(VLOOKUP(F$4,'G&amp;A bed avail.'!$AW$5:$BE$18,2,FALSE),"")</f>
        <v>0</v>
      </c>
      <c r="G24" s="121">
        <f>IFERROR(VLOOKUP(G$4,'G&amp;A bed avail.'!$AW$5:$BE$18,2,FALSE),"")</f>
        <v>0</v>
      </c>
      <c r="H24" s="121">
        <f>IFERROR(VLOOKUP(H$4,'G&amp;A bed avail.'!$AW$5:$BE$18,2,FALSE),"")</f>
        <v>0</v>
      </c>
      <c r="I24" s="121">
        <f>IFERROR(VLOOKUP(I$4,'G&amp;A bed avail.'!$AW$5:$BE$18,2,FALSE),"")</f>
        <v>0</v>
      </c>
      <c r="J24" s="121">
        <f>IFERROR(VLOOKUP(J$4,'G&amp;A bed avail.'!$AW$5:$BE$18,2,FALSE),"")</f>
        <v>0</v>
      </c>
      <c r="K24" s="121">
        <f>IFERROR(VLOOKUP(K$4,'G&amp;A bed avail.'!$AW$5:$BE$18,2,FALSE),"")</f>
        <v>0</v>
      </c>
      <c r="L24" s="121">
        <f>IFERROR(VLOOKUP(L$4,'G&amp;A bed avail.'!$AW$5:$BE$18,2,FALSE),"")</f>
        <v>0</v>
      </c>
      <c r="M24" s="121">
        <f>IFERROR(VLOOKUP(M$4,'G&amp;A bed avail.'!$AW$5:$BE$18,2,FALSE),"")</f>
        <v>0</v>
      </c>
      <c r="N24" s="121">
        <f>IFERROR(VLOOKUP(N$4,'G&amp;A bed avail.'!$AW$5:$BE$18,2,FALSE),"")</f>
        <v>0</v>
      </c>
      <c r="O24" s="121">
        <f>IFERROR(VLOOKUP(O$4,'G&amp;A bed avail.'!$AW$5:$BE$18,2,FALSE),"")</f>
        <v>0</v>
      </c>
      <c r="P24" s="121">
        <f>IFERROR(VLOOKUP(P$4,'G&amp;A bed avail.'!$AW$5:$BE$18,2,FALSE),"")</f>
        <v>0</v>
      </c>
      <c r="Q24" s="78" t="str">
        <f>IFERROR(VLOOKUP(Q$4,'G&amp;A bed avail.'!$AW$5:$BD$19,2,FALSE),"")</f>
        <v/>
      </c>
      <c r="R24" s="2"/>
      <c r="Z24" s="169"/>
      <c r="AA24" s="169"/>
      <c r="AB24" s="169"/>
      <c r="AC24" s="169"/>
    </row>
    <row r="25" spans="1:31" hidden="1" x14ac:dyDescent="0.35">
      <c r="B25" s="168"/>
      <c r="C25" s="1" t="s">
        <v>1</v>
      </c>
      <c r="D25" s="132" t="s">
        <v>293</v>
      </c>
      <c r="E25" s="132">
        <f>IFERROR(VLOOKUP(E$4,'G&amp;A bed avail.'!$AW$5:$BE$18,3,FALSE),"")</f>
        <v>0</v>
      </c>
      <c r="F25" s="132">
        <f>IFERROR(VLOOKUP(F$4,'G&amp;A bed avail.'!$AW$5:$BE$18,3,FALSE),"")</f>
        <v>0</v>
      </c>
      <c r="G25" s="132">
        <f>IFERROR(VLOOKUP(G$4,'G&amp;A bed avail.'!$AW$5:$BE$18,3,FALSE),"")</f>
        <v>0</v>
      </c>
      <c r="H25" s="132">
        <f>IFERROR(VLOOKUP(H$4,'G&amp;A bed avail.'!$AW$5:$BE$18,3,FALSE),"")</f>
        <v>0</v>
      </c>
      <c r="I25" s="132">
        <f>IFERROR(VLOOKUP(I$4,'G&amp;A bed avail.'!$AW$5:$BE$18,3,FALSE),"")</f>
        <v>0</v>
      </c>
      <c r="J25" s="132">
        <f>IFERROR(VLOOKUP(J$4,'G&amp;A bed avail.'!$AW$5:$BE$18,3,FALSE),"")</f>
        <v>0</v>
      </c>
      <c r="K25" s="132">
        <f>IFERROR(VLOOKUP(K$4,'G&amp;A bed avail.'!$AW$5:$BE$18,3,FALSE),"")</f>
        <v>0</v>
      </c>
      <c r="L25" s="132">
        <f>IFERROR(VLOOKUP(L$4,'G&amp;A bed avail.'!$AW$5:$BE$18,3,FALSE),"")</f>
        <v>0</v>
      </c>
      <c r="M25" s="132">
        <f>IFERROR(VLOOKUP(M$4,'G&amp;A bed avail.'!$AW$5:$BE$18,3,FALSE),"")</f>
        <v>0</v>
      </c>
      <c r="N25" s="132">
        <f>IFERROR(VLOOKUP(N$4,'G&amp;A bed avail.'!$AW$5:$BE$18,3,FALSE),"")</f>
        <v>0</v>
      </c>
      <c r="O25" s="132">
        <f>IFERROR(VLOOKUP(O$4,'G&amp;A bed avail.'!$AW$5:$BE$18,3,FALSE),"")</f>
        <v>0</v>
      </c>
      <c r="P25" s="132">
        <f>IFERROR(VLOOKUP(P$4,'G&amp;A bed avail.'!$AW$5:$BE$18,3,FALSE),"")</f>
        <v>0</v>
      </c>
      <c r="Q25" s="79" t="str">
        <f>IFERROR(VLOOKUP(Q$4,'G&amp;A bed avail.'!$AW$5:$BD$19,3,FALSE),"")</f>
        <v/>
      </c>
      <c r="Z25" s="169"/>
      <c r="AA25" s="169"/>
      <c r="AB25" s="169"/>
      <c r="AC25" s="169"/>
    </row>
    <row r="26" spans="1:31" ht="15" hidden="1" customHeight="1" x14ac:dyDescent="0.35">
      <c r="B26" s="168"/>
      <c r="C26" s="1" t="s">
        <v>220</v>
      </c>
      <c r="D26" s="132" t="s">
        <v>293</v>
      </c>
      <c r="E26" s="132">
        <f>IFERROR(VLOOKUP(E$4,'G&amp;A bed avail.'!$AW$5:$BE$18,4,FALSE),"")</f>
        <v>0</v>
      </c>
      <c r="F26" s="132">
        <f>IFERROR(VLOOKUP(F$4,'G&amp;A bed avail.'!$AW$5:$BE$18,4,FALSE),"")</f>
        <v>0</v>
      </c>
      <c r="G26" s="132">
        <f>IFERROR(VLOOKUP(G$4,'G&amp;A bed avail.'!$AW$5:$BE$18,4,FALSE),"")</f>
        <v>0</v>
      </c>
      <c r="H26" s="132">
        <f>IFERROR(VLOOKUP(H$4,'G&amp;A bed avail.'!$AW$5:$BE$18,4,FALSE),"")</f>
        <v>0</v>
      </c>
      <c r="I26" s="132">
        <f>IFERROR(VLOOKUP(I$4,'G&amp;A bed avail.'!$AW$5:$BE$18,4,FALSE),"")</f>
        <v>0</v>
      </c>
      <c r="J26" s="132">
        <f>IFERROR(VLOOKUP(J$4,'G&amp;A bed avail.'!$AW$5:$BE$18,4,FALSE),"")</f>
        <v>0</v>
      </c>
      <c r="K26" s="132">
        <f>IFERROR(VLOOKUP(K$4,'G&amp;A bed avail.'!$AW$5:$BE$18,4,FALSE),"")</f>
        <v>0</v>
      </c>
      <c r="L26" s="132">
        <f>IFERROR(VLOOKUP(L$4,'G&amp;A bed avail.'!$AW$5:$BE$18,4,FALSE),"")</f>
        <v>0</v>
      </c>
      <c r="M26" s="132">
        <f>IFERROR(VLOOKUP(M$4,'G&amp;A bed avail.'!$AW$5:$BE$18,4,FALSE),"")</f>
        <v>0</v>
      </c>
      <c r="N26" s="132">
        <f>IFERROR(VLOOKUP(N$4,'G&amp;A bed avail.'!$AW$5:$BE$18,4,FALSE),"")</f>
        <v>0</v>
      </c>
      <c r="O26" s="132">
        <f>IFERROR(VLOOKUP(O$4,'G&amp;A bed avail.'!$AW$5:$BE$18,4,FALSE),"")</f>
        <v>0</v>
      </c>
      <c r="P26" s="132">
        <f>IFERROR(VLOOKUP(P$4,'G&amp;A bed avail.'!$AW$5:$BE$18,4,FALSE),"")</f>
        <v>0</v>
      </c>
      <c r="Q26" s="79" t="str">
        <f>IFERROR(VLOOKUP(Q$4,'G&amp;A bed avail.'!$AW$5:$BD$19,4,FALSE),"")</f>
        <v/>
      </c>
      <c r="Z26" s="15"/>
      <c r="AA26" s="15"/>
      <c r="AB26" s="15"/>
      <c r="AC26" s="15"/>
    </row>
    <row r="27" spans="1:31" ht="15" hidden="1" customHeight="1" x14ac:dyDescent="0.35">
      <c r="B27" s="168"/>
      <c r="C27" s="1" t="s">
        <v>248</v>
      </c>
      <c r="D27" s="132" t="s">
        <v>293</v>
      </c>
      <c r="E27" s="132">
        <f>IFERROR(VLOOKUP(E$4,'G&amp;A bed avail.'!$AW$5:$BE$18,8,FALSE),"")</f>
        <v>0</v>
      </c>
      <c r="F27" s="132">
        <f>IFERROR(VLOOKUP(F$4,'G&amp;A bed avail.'!$AW$5:$BE$18,8,FALSE),"")</f>
        <v>0</v>
      </c>
      <c r="G27" s="132">
        <f>IFERROR(VLOOKUP(G$4,'G&amp;A bed avail.'!$AW$5:$BE$18,8,FALSE),"")</f>
        <v>0</v>
      </c>
      <c r="H27" s="132">
        <f>IFERROR(VLOOKUP(H$4,'G&amp;A bed avail.'!$AW$5:$BE$18,8,FALSE),"")</f>
        <v>0</v>
      </c>
      <c r="I27" s="132">
        <f>IFERROR(VLOOKUP(I$4,'G&amp;A bed avail.'!$AW$5:$BE$18,8,FALSE),"")</f>
        <v>0</v>
      </c>
      <c r="J27" s="132">
        <f>IFERROR(VLOOKUP(J$4,'G&amp;A bed avail.'!$AW$5:$BE$18,8,FALSE),"")</f>
        <v>0</v>
      </c>
      <c r="K27" s="132">
        <f>IFERROR(VLOOKUP(K$4,'G&amp;A bed avail.'!$AW$5:$BE$18,8,FALSE),"")</f>
        <v>0</v>
      </c>
      <c r="L27" s="132">
        <f>IFERROR(VLOOKUP(L$4,'G&amp;A bed avail.'!$AW$5:$BE$18,8,FALSE),"")</f>
        <v>0</v>
      </c>
      <c r="M27" s="132">
        <f>IFERROR(VLOOKUP(M$4,'G&amp;A bed avail.'!$AW$5:$BE$18,8,FALSE),"")</f>
        <v>0</v>
      </c>
      <c r="N27" s="132">
        <f>IFERROR(VLOOKUP(N$4,'G&amp;A bed avail.'!$AW$5:$BE$18,8,FALSE),"")</f>
        <v>0</v>
      </c>
      <c r="O27" s="132">
        <f>IFERROR(VLOOKUP(O$4,'G&amp;A bed avail.'!$AW$5:$BE$18,8,FALSE),"")</f>
        <v>0</v>
      </c>
      <c r="P27" s="132">
        <f>IFERROR(VLOOKUP(P$4,'G&amp;A bed avail.'!$AW$5:$BE$18,8,FALSE),"")</f>
        <v>0</v>
      </c>
      <c r="Q27" s="79"/>
      <c r="Z27" s="15"/>
      <c r="AA27" s="15"/>
      <c r="AB27" s="15"/>
      <c r="AC27" s="15"/>
    </row>
    <row r="28" spans="1:31" ht="15" hidden="1" customHeight="1" x14ac:dyDescent="0.35">
      <c r="B28" s="168"/>
      <c r="C28" s="1" t="s">
        <v>249</v>
      </c>
      <c r="D28" s="132" t="s">
        <v>293</v>
      </c>
      <c r="E28" s="132">
        <f>IFERROR(VLOOKUP(E$4,'G&amp;A bed avail.'!$AW$5:$BE$18,5,FALSE),"")</f>
        <v>0</v>
      </c>
      <c r="F28" s="132">
        <f>IFERROR(VLOOKUP(F$4,'G&amp;A bed avail.'!$AW$5:$BE$18,5,FALSE),"")</f>
        <v>0</v>
      </c>
      <c r="G28" s="132">
        <f>IFERROR(VLOOKUP(G$4,'G&amp;A bed avail.'!$AW$5:$BE$18,5,FALSE),"")</f>
        <v>0</v>
      </c>
      <c r="H28" s="132">
        <f>IFERROR(VLOOKUP(H$4,'G&amp;A bed avail.'!$AW$5:$BE$18,5,FALSE),"")</f>
        <v>0</v>
      </c>
      <c r="I28" s="132">
        <f>IFERROR(VLOOKUP(I$4,'G&amp;A bed avail.'!$AW$5:$BE$18,5,FALSE),"")</f>
        <v>0</v>
      </c>
      <c r="J28" s="132">
        <f>IFERROR(VLOOKUP(J$4,'G&amp;A bed avail.'!$AW$5:$BE$18,5,FALSE),"")</f>
        <v>0</v>
      </c>
      <c r="K28" s="132">
        <f>IFERROR(VLOOKUP(K$4,'G&amp;A bed avail.'!$AW$5:$BE$18,5,FALSE),"")</f>
        <v>0</v>
      </c>
      <c r="L28" s="132">
        <f>IFERROR(VLOOKUP(L$4,'G&amp;A bed avail.'!$AW$5:$BE$18,5,FALSE),"")</f>
        <v>0</v>
      </c>
      <c r="M28" s="132">
        <f>IFERROR(VLOOKUP(M$4,'G&amp;A bed avail.'!$AW$5:$BE$18,5,FALSE),"")</f>
        <v>0</v>
      </c>
      <c r="N28" s="132">
        <f>IFERROR(VLOOKUP(N$4,'G&amp;A bed avail.'!$AW$5:$BE$18,5,FALSE),"")</f>
        <v>0</v>
      </c>
      <c r="O28" s="132">
        <f>IFERROR(VLOOKUP(O$4,'G&amp;A bed avail.'!$AW$5:$BE$18,5,FALSE),"")</f>
        <v>0</v>
      </c>
      <c r="P28" s="132">
        <f>IFERROR(VLOOKUP(P$4,'G&amp;A bed avail.'!$AW$5:$BE$18,5,FALSE),"")</f>
        <v>0</v>
      </c>
      <c r="Q28" s="79"/>
      <c r="Z28" s="15"/>
      <c r="AA28" s="15"/>
      <c r="AB28" s="15"/>
      <c r="AC28" s="15"/>
    </row>
    <row r="29" spans="1:31" hidden="1" x14ac:dyDescent="0.35">
      <c r="B29" s="168"/>
      <c r="C29" s="1" t="s">
        <v>251</v>
      </c>
      <c r="D29" s="132" t="s">
        <v>293</v>
      </c>
      <c r="E29" s="132">
        <f>IFERROR(VLOOKUP(E$4,'G&amp;A bed avail.'!$AW$5:$BE$18,9,FALSE),"")</f>
        <v>0</v>
      </c>
      <c r="F29" s="132">
        <f>IFERROR(VLOOKUP(F$4,'G&amp;A bed avail.'!$AW$5:$BE$18,9,FALSE),"")</f>
        <v>0</v>
      </c>
      <c r="G29" s="132">
        <f>IFERROR(VLOOKUP(G$4,'G&amp;A bed avail.'!$AW$5:$BE$18,9,FALSE),"")</f>
        <v>0</v>
      </c>
      <c r="H29" s="132">
        <f>IFERROR(VLOOKUP(H$4,'G&amp;A bed avail.'!$AW$5:$BE$18,9,FALSE),"")</f>
        <v>0</v>
      </c>
      <c r="I29" s="132">
        <f>IFERROR(VLOOKUP(I$4,'G&amp;A bed avail.'!$AW$5:$BE$18,9,FALSE),"")</f>
        <v>0</v>
      </c>
      <c r="J29" s="132">
        <f>IFERROR(VLOOKUP(J$4,'G&amp;A bed avail.'!$AW$5:$BE$18,9,FALSE),"")</f>
        <v>0</v>
      </c>
      <c r="K29" s="132">
        <f>IFERROR(VLOOKUP(K$4,'G&amp;A bed avail.'!$AW$5:$BE$18,9,FALSE),"")</f>
        <v>0</v>
      </c>
      <c r="L29" s="132">
        <f>IFERROR(VLOOKUP(L$4,'G&amp;A bed avail.'!$AW$5:$BE$18,9,FALSE),"")</f>
        <v>0</v>
      </c>
      <c r="M29" s="132">
        <f>IFERROR(VLOOKUP(M$4,'G&amp;A bed avail.'!$AW$5:$BE$18,9,FALSE),"")</f>
        <v>0</v>
      </c>
      <c r="N29" s="132">
        <f>IFERROR(VLOOKUP(N$4,'G&amp;A bed avail.'!$AW$5:$BE$18,9,FALSE),"")</f>
        <v>0</v>
      </c>
      <c r="O29" s="132">
        <f>IFERROR(VLOOKUP(O$4,'G&amp;A bed avail.'!$AW$5:$BE$18,9,FALSE),"")</f>
        <v>0</v>
      </c>
      <c r="P29" s="132">
        <f>IFERROR(VLOOKUP(P$4,'G&amp;A bed avail.'!$AW$5:$BE$18,9,FALSE),"")</f>
        <v>0</v>
      </c>
      <c r="Q29" s="79" t="str">
        <f>IFERROR(VLOOKUP(Q$4,'G&amp;A bed avail.'!$AW$5:$BD$19,5,FALSE),"")</f>
        <v/>
      </c>
      <c r="Z29" s="15"/>
      <c r="AA29" s="15"/>
      <c r="AB29" s="15"/>
      <c r="AC29" s="15"/>
    </row>
    <row r="30" spans="1:31" hidden="1" x14ac:dyDescent="0.35">
      <c r="B30" s="168"/>
      <c r="C30" s="1" t="s">
        <v>217</v>
      </c>
      <c r="D30" s="132" t="s">
        <v>293</v>
      </c>
      <c r="E30" s="132">
        <f>IFERROR(VLOOKUP(E$4,'G&amp;A bed avail.'!$AW$5:$BE$18,6,FALSE),"")</f>
        <v>0</v>
      </c>
      <c r="F30" s="132">
        <f>IFERROR(VLOOKUP(F$4,'G&amp;A bed avail.'!$AW$5:$BE$18,6,FALSE),"")</f>
        <v>0</v>
      </c>
      <c r="G30" s="132">
        <f>IFERROR(VLOOKUP(G$4,'G&amp;A bed avail.'!$AW$5:$BE$18,6,FALSE),"")</f>
        <v>0</v>
      </c>
      <c r="H30" s="132">
        <f>IFERROR(VLOOKUP(H$4,'G&amp;A bed avail.'!$AW$5:$BE$18,6,FALSE),"")</f>
        <v>0</v>
      </c>
      <c r="I30" s="132">
        <f>IFERROR(VLOOKUP(I$4,'G&amp;A bed avail.'!$AW$5:$BE$18,6,FALSE),"")</f>
        <v>0</v>
      </c>
      <c r="J30" s="132">
        <f>IFERROR(VLOOKUP(J$4,'G&amp;A bed avail.'!$AW$5:$BE$18,6,FALSE),"")</f>
        <v>0</v>
      </c>
      <c r="K30" s="132">
        <f>IFERROR(VLOOKUP(K$4,'G&amp;A bed avail.'!$AW$5:$BE$18,6,FALSE),"")</f>
        <v>0</v>
      </c>
      <c r="L30" s="132">
        <f>IFERROR(VLOOKUP(L$4,'G&amp;A bed avail.'!$AW$5:$BE$18,6,FALSE),"")</f>
        <v>0</v>
      </c>
      <c r="M30" s="132">
        <f>IFERROR(VLOOKUP(M$4,'G&amp;A bed avail.'!$AW$5:$BE$18,6,FALSE),"")</f>
        <v>0</v>
      </c>
      <c r="N30" s="132">
        <f>IFERROR(VLOOKUP(N$4,'G&amp;A bed avail.'!$AW$5:$BE$18,6,FALSE),"")</f>
        <v>0</v>
      </c>
      <c r="O30" s="132">
        <f>IFERROR(VLOOKUP(O$4,'G&amp;A bed avail.'!$AW$5:$BE$18,6,FALSE),"")</f>
        <v>0</v>
      </c>
      <c r="P30" s="132">
        <f>IFERROR(VLOOKUP(P$4,'G&amp;A bed avail.'!$AW$5:$BE$18,6,FALSE),"")</f>
        <v>0</v>
      </c>
      <c r="Q30" s="79" t="str">
        <f>IFERROR(VLOOKUP(Q$4,'G&amp;A bed avail.'!$AW$5:$BD$19,6,FALSE),"")</f>
        <v/>
      </c>
      <c r="Z30" s="15"/>
      <c r="AA30" s="15"/>
      <c r="AB30" s="15"/>
      <c r="AC30" s="15"/>
    </row>
    <row r="31" spans="1:31" hidden="1" x14ac:dyDescent="0.35">
      <c r="B31" s="168"/>
      <c r="C31" s="11" t="s">
        <v>218</v>
      </c>
      <c r="D31" s="132" t="s">
        <v>293</v>
      </c>
      <c r="E31" s="132">
        <f>IFERROR(VLOOKUP(E$4,'G&amp;A bed avail.'!$AW$5:$BE$18,7,FALSE),"")</f>
        <v>0</v>
      </c>
      <c r="F31" s="132">
        <f>IFERROR(VLOOKUP(F$4,'G&amp;A bed avail.'!$AW$5:$BE$18,7,FALSE),"")</f>
        <v>0</v>
      </c>
      <c r="G31" s="132">
        <f>IFERROR(VLOOKUP(G$4,'G&amp;A bed avail.'!$AW$5:$BE$18,7,FALSE),"")</f>
        <v>0</v>
      </c>
      <c r="H31" s="132">
        <f>IFERROR(VLOOKUP(H$4,'G&amp;A bed avail.'!$AW$5:$BE$18,7,FALSE),"")</f>
        <v>0</v>
      </c>
      <c r="I31" s="132">
        <f>IFERROR(VLOOKUP(I$4,'G&amp;A bed avail.'!$AW$5:$BE$18,7,FALSE),"")</f>
        <v>0</v>
      </c>
      <c r="J31" s="132">
        <f>IFERROR(VLOOKUP(J$4,'G&amp;A bed avail.'!$AW$5:$BE$18,7,FALSE),"")</f>
        <v>0</v>
      </c>
      <c r="K31" s="132">
        <f>IFERROR(VLOOKUP(K$4,'G&amp;A bed avail.'!$AW$5:$BE$18,7,FALSE),"")</f>
        <v>0</v>
      </c>
      <c r="L31" s="132">
        <f>IFERROR(VLOOKUP(L$4,'G&amp;A bed avail.'!$AW$5:$BE$18,7,FALSE),"")</f>
        <v>0</v>
      </c>
      <c r="M31" s="132">
        <f>IFERROR(VLOOKUP(M$4,'G&amp;A bed avail.'!$AW$5:$BE$18,7,FALSE),"")</f>
        <v>0</v>
      </c>
      <c r="N31" s="132">
        <f>IFERROR(VLOOKUP(N$4,'G&amp;A bed avail.'!$AW$5:$BE$18,7,FALSE),"")</f>
        <v>0</v>
      </c>
      <c r="O31" s="132">
        <f>IFERROR(VLOOKUP(O$4,'G&amp;A bed avail.'!$AW$5:$BE$18,7,FALSE),"")</f>
        <v>0</v>
      </c>
      <c r="P31" s="132">
        <f>IFERROR(VLOOKUP(P$4,'G&amp;A bed avail.'!$AW$5:$BE$18,7,FALSE),"")</f>
        <v>0</v>
      </c>
      <c r="Q31" s="79" t="str">
        <f>IFERROR(VLOOKUP(Q$4,'G&amp;A bed avail.'!$AW$5:$BD$19,7,FALSE),"")</f>
        <v/>
      </c>
      <c r="Z31" s="15"/>
      <c r="AA31" s="15"/>
      <c r="AB31" s="15"/>
      <c r="AC31" s="15"/>
    </row>
    <row r="32" spans="1:31" ht="7.5" hidden="1" customHeight="1" x14ac:dyDescent="0.35">
      <c r="B32" s="168"/>
      <c r="C32" s="1"/>
      <c r="D32" s="33"/>
      <c r="E32" s="33"/>
      <c r="F32" s="33"/>
      <c r="G32" s="33"/>
      <c r="H32" s="33"/>
      <c r="I32" s="33"/>
      <c r="J32" s="33"/>
      <c r="K32" s="33"/>
      <c r="L32" s="33"/>
      <c r="M32" s="33"/>
      <c r="N32" s="33"/>
      <c r="O32" s="33"/>
      <c r="P32" s="33"/>
      <c r="Q32" s="33"/>
      <c r="Z32" s="15"/>
      <c r="AA32" s="15"/>
      <c r="AB32" s="15"/>
      <c r="AC32" s="15"/>
    </row>
    <row r="33" spans="2:29" hidden="1" x14ac:dyDescent="0.35">
      <c r="B33" s="168"/>
      <c r="C33" s="1" t="s">
        <v>208</v>
      </c>
      <c r="D33" s="174" t="s">
        <v>247</v>
      </c>
      <c r="E33" s="174"/>
      <c r="F33" s="174"/>
      <c r="G33" s="174" t="s">
        <v>284</v>
      </c>
      <c r="H33" s="174"/>
      <c r="I33" s="174"/>
      <c r="J33" s="174"/>
      <c r="K33" s="181" t="s">
        <v>283</v>
      </c>
      <c r="L33" s="181"/>
      <c r="M33" s="181"/>
      <c r="N33" s="175" t="s">
        <v>293</v>
      </c>
      <c r="O33" s="175"/>
      <c r="P33" s="175"/>
      <c r="Q33" s="80"/>
      <c r="R33" s="58"/>
      <c r="Z33" s="15"/>
      <c r="AA33" s="15"/>
      <c r="AB33" s="15"/>
      <c r="AC33" s="15"/>
    </row>
    <row r="34" spans="2:29" ht="7.5" hidden="1" customHeight="1" x14ac:dyDescent="0.35">
      <c r="B34" s="168"/>
      <c r="C34" s="1"/>
      <c r="D34" s="33"/>
      <c r="E34" s="33"/>
      <c r="F34" s="33"/>
      <c r="G34" s="33"/>
      <c r="H34" s="33"/>
      <c r="I34" s="33"/>
      <c r="J34" s="33"/>
      <c r="K34" s="33"/>
      <c r="L34" s="33"/>
      <c r="M34" s="33"/>
      <c r="N34" s="33"/>
      <c r="O34" s="33"/>
      <c r="P34" s="33"/>
      <c r="Q34" s="33"/>
      <c r="Z34" s="15"/>
      <c r="AA34" s="15"/>
      <c r="AB34" s="15"/>
      <c r="AC34" s="15"/>
    </row>
    <row r="35" spans="2:29" ht="15" hidden="1" customHeight="1" x14ac:dyDescent="0.35">
      <c r="B35" s="168"/>
      <c r="C35" s="12" t="s">
        <v>212</v>
      </c>
      <c r="D35" s="119">
        <v>2399.8571428571427</v>
      </c>
      <c r="E35" s="119">
        <v>2249.5714285714284</v>
      </c>
      <c r="F35" s="119">
        <v>1987.4285714285713</v>
      </c>
      <c r="G35" s="119">
        <v>1727.8571428571429</v>
      </c>
      <c r="H35" s="119">
        <v>3065.8571428571427</v>
      </c>
      <c r="I35" s="119">
        <v>3611.7142857142858</v>
      </c>
      <c r="J35" s="119">
        <v>3702.8571428571427</v>
      </c>
      <c r="K35" s="119">
        <v>3630</v>
      </c>
      <c r="L35" s="119">
        <v>3882.8571428571427</v>
      </c>
      <c r="M35" s="119">
        <v>4015.2857142857142</v>
      </c>
      <c r="N35" s="119">
        <v>3861.5714285714284</v>
      </c>
      <c r="O35" s="119">
        <v>3602.7142857142858</v>
      </c>
      <c r="P35" s="119">
        <v>3373.5714285714284</v>
      </c>
      <c r="Z35" s="15"/>
      <c r="AA35" s="15"/>
      <c r="AB35" s="15"/>
      <c r="AC35" s="15"/>
    </row>
    <row r="36" spans="2:29" ht="15" hidden="1" customHeight="1" x14ac:dyDescent="0.35">
      <c r="B36" s="168"/>
      <c r="C36" s="1" t="s">
        <v>247</v>
      </c>
      <c r="D36" s="14">
        <v>3172.1428571428573</v>
      </c>
      <c r="E36" s="14">
        <v>3348.7142857142858</v>
      </c>
      <c r="F36" s="14">
        <v>3318.5714285714284</v>
      </c>
      <c r="G36" s="14">
        <v>2586.2857142857142</v>
      </c>
      <c r="H36" s="14">
        <v>3935.4285714285716</v>
      </c>
      <c r="I36" s="14">
        <v>4440.5714285714284</v>
      </c>
      <c r="J36" s="14">
        <v>4141</v>
      </c>
      <c r="K36" s="14">
        <v>3859.8571428571427</v>
      </c>
      <c r="L36" s="14">
        <v>4044.4285714285716</v>
      </c>
      <c r="M36" s="14">
        <v>3860.8571428571427</v>
      </c>
      <c r="N36" s="14">
        <v>3588.1428571428573</v>
      </c>
      <c r="O36" s="14">
        <v>3502.5714285714284</v>
      </c>
      <c r="P36" s="14">
        <v>3551.1428571428573</v>
      </c>
      <c r="R36" s="3"/>
      <c r="Z36" s="15"/>
      <c r="AA36" s="15"/>
      <c r="AB36" s="15"/>
      <c r="AC36" s="15"/>
    </row>
    <row r="37" spans="2:29" ht="7.5" hidden="1" customHeight="1" x14ac:dyDescent="0.35">
      <c r="B37" s="168"/>
      <c r="C37" s="1"/>
      <c r="D37" s="30"/>
      <c r="E37" s="30"/>
      <c r="F37" s="30"/>
      <c r="G37" s="30"/>
      <c r="H37" s="30"/>
      <c r="I37" s="30"/>
      <c r="J37" s="30"/>
      <c r="K37" s="30"/>
      <c r="L37" s="30"/>
      <c r="M37" s="30"/>
      <c r="N37" s="30"/>
      <c r="O37" s="30"/>
      <c r="P37" s="30"/>
      <c r="Q37" s="30">
        <v>0.85</v>
      </c>
      <c r="Z37" s="15"/>
      <c r="AA37" s="15"/>
      <c r="AB37" s="15"/>
      <c r="AC37" s="15"/>
    </row>
    <row r="38" spans="2:29" hidden="1" x14ac:dyDescent="0.35">
      <c r="B38" s="168"/>
      <c r="C38" s="16" t="s">
        <v>283</v>
      </c>
      <c r="D38" s="66" t="s">
        <v>293</v>
      </c>
      <c r="E38" s="66">
        <f>IFERROR(VLOOKUP(E$4, 'G&amp;A bed avail.'!$AW$22:$BE$35,2,FALSE),"")</f>
        <v>0</v>
      </c>
      <c r="F38" s="66">
        <f>IFERROR(VLOOKUP(F$4, 'G&amp;A bed avail.'!$AW$22:$BE$35,2,FALSE),"")</f>
        <v>0</v>
      </c>
      <c r="G38" s="66">
        <f>IFERROR(VLOOKUP(G$4, 'G&amp;A bed avail.'!$AW$22:$BE$35,2,FALSE),"")</f>
        <v>0</v>
      </c>
      <c r="H38" s="66">
        <f>IFERROR(VLOOKUP(H$4, 'G&amp;A bed avail.'!$AW$22:$BE$35,2,FALSE),"")</f>
        <v>0</v>
      </c>
      <c r="I38" s="66">
        <f>IFERROR(VLOOKUP(I$4, 'G&amp;A bed avail.'!$AW$22:$BE$35,2,FALSE),"")</f>
        <v>0</v>
      </c>
      <c r="J38" s="66">
        <f>IFERROR(VLOOKUP(J$4, 'G&amp;A bed avail.'!$AW$22:$BE$35,2,FALSE),"")</f>
        <v>0</v>
      </c>
      <c r="K38" s="66">
        <f>IFERROR(VLOOKUP(K$4, 'G&amp;A bed avail.'!$AW$22:$BE$35,2,FALSE),"")</f>
        <v>0</v>
      </c>
      <c r="L38" s="66">
        <f>IFERROR(VLOOKUP(L$4, 'G&amp;A bed avail.'!$AW$22:$BE$35,2,FALSE),"")</f>
        <v>0</v>
      </c>
      <c r="M38" s="66">
        <f>IFERROR(VLOOKUP(M$4, 'G&amp;A bed avail.'!$AW$22:$BE$35,2,FALSE),"")</f>
        <v>0</v>
      </c>
      <c r="N38" s="66">
        <f>IFERROR(VLOOKUP(N$4, 'G&amp;A bed avail.'!$AW$22:$BE$35,2,FALSE),"")</f>
        <v>0</v>
      </c>
      <c r="O38" s="66">
        <f>IFERROR(VLOOKUP(O$4, 'G&amp;A bed avail.'!$AW$22:$BE$35,2,FALSE),"")</f>
        <v>0</v>
      </c>
      <c r="P38" s="66">
        <f>IFERROR(VLOOKUP(P$4, 'G&amp;A bed avail.'!$AW$22:$BE$35,2,FALSE),"")</f>
        <v>0</v>
      </c>
      <c r="Q38" s="78" t="str">
        <f>IFERROR(VLOOKUP(Q$4, 'G&amp;A bed avail.'!$AW$22:$BD$36,2,FALSE),"")</f>
        <v/>
      </c>
      <c r="R38" s="2"/>
      <c r="Z38" s="15"/>
      <c r="AA38" s="15"/>
      <c r="AB38" s="15"/>
      <c r="AC38" s="15"/>
    </row>
    <row r="39" spans="2:29" hidden="1" x14ac:dyDescent="0.35">
      <c r="B39" s="168"/>
      <c r="C39" s="1" t="s">
        <v>1</v>
      </c>
      <c r="D39" s="132" t="s">
        <v>293</v>
      </c>
      <c r="E39" s="132">
        <f>IFERROR(VLOOKUP(E$4, 'G&amp;A bed avail.'!$AW$22:$BE$35,3,FALSE),"")</f>
        <v>0</v>
      </c>
      <c r="F39" s="132">
        <f>IFERROR(VLOOKUP(F$4, 'G&amp;A bed avail.'!$AW$22:$BE$35,3,FALSE),"")</f>
        <v>0</v>
      </c>
      <c r="G39" s="132">
        <f>IFERROR(VLOOKUP(G$4, 'G&amp;A bed avail.'!$AW$22:$BE$35,3,FALSE),"")</f>
        <v>0</v>
      </c>
      <c r="H39" s="132">
        <f>IFERROR(VLOOKUP(H$4, 'G&amp;A bed avail.'!$AW$22:$BE$35,3,FALSE),"")</f>
        <v>0</v>
      </c>
      <c r="I39" s="132">
        <f>IFERROR(VLOOKUP(I$4, 'G&amp;A bed avail.'!$AW$22:$BE$35,3,FALSE),"")</f>
        <v>0</v>
      </c>
      <c r="J39" s="132">
        <f>IFERROR(VLOOKUP(J$4, 'G&amp;A bed avail.'!$AW$22:$BE$35,3,FALSE),"")</f>
        <v>0</v>
      </c>
      <c r="K39" s="132">
        <f>IFERROR(VLOOKUP(K$4, 'G&amp;A bed avail.'!$AW$22:$BE$35,3,FALSE),"")</f>
        <v>0</v>
      </c>
      <c r="L39" s="132">
        <f>IFERROR(VLOOKUP(L$4, 'G&amp;A bed avail.'!$AW$22:$BE$35,3,FALSE),"")</f>
        <v>0</v>
      </c>
      <c r="M39" s="132">
        <f>IFERROR(VLOOKUP(M$4, 'G&amp;A bed avail.'!$AW$22:$BE$35,3,FALSE),"")</f>
        <v>0</v>
      </c>
      <c r="N39" s="132">
        <f>IFERROR(VLOOKUP(N$4, 'G&amp;A bed avail.'!$AW$22:$BE$35,3,FALSE),"")</f>
        <v>0</v>
      </c>
      <c r="O39" s="132">
        <f>IFERROR(VLOOKUP(O$4, 'G&amp;A bed avail.'!$AW$22:$BE$35,3,FALSE),"")</f>
        <v>0</v>
      </c>
      <c r="P39" s="132">
        <f>IFERROR(VLOOKUP(P$4, 'G&amp;A bed avail.'!$AW$22:$BE$35,3,FALSE),"")</f>
        <v>0</v>
      </c>
      <c r="Q39" s="79" t="str">
        <f>IFERROR(VLOOKUP(Q$4, 'G&amp;A bed avail.'!$AW$22:$BD$36,3,FALSE),"")</f>
        <v/>
      </c>
      <c r="Z39" s="15"/>
      <c r="AA39" s="15"/>
      <c r="AB39" s="15"/>
      <c r="AC39" s="15"/>
    </row>
    <row r="40" spans="2:29" ht="15" hidden="1" customHeight="1" x14ac:dyDescent="0.35">
      <c r="B40" s="168"/>
      <c r="C40" s="1" t="s">
        <v>220</v>
      </c>
      <c r="D40" s="132" t="s">
        <v>293</v>
      </c>
      <c r="E40" s="132">
        <f>IFERROR(VLOOKUP(E$4, 'G&amp;A bed avail.'!$AW$22:$BE$35,4,FALSE),"")</f>
        <v>0</v>
      </c>
      <c r="F40" s="132">
        <f>IFERROR(VLOOKUP(F$4, 'G&amp;A bed avail.'!$AW$22:$BE$35,4,FALSE),"")</f>
        <v>0</v>
      </c>
      <c r="G40" s="132">
        <f>IFERROR(VLOOKUP(G$4, 'G&amp;A bed avail.'!$AW$22:$BE$35,4,FALSE),"")</f>
        <v>0</v>
      </c>
      <c r="H40" s="132">
        <f>IFERROR(VLOOKUP(H$4, 'G&amp;A bed avail.'!$AW$22:$BE$35,4,FALSE),"")</f>
        <v>0</v>
      </c>
      <c r="I40" s="132">
        <f>IFERROR(VLOOKUP(I$4, 'G&amp;A bed avail.'!$AW$22:$BE$35,4,FALSE),"")</f>
        <v>0</v>
      </c>
      <c r="J40" s="132">
        <f>IFERROR(VLOOKUP(J$4, 'G&amp;A bed avail.'!$AW$22:$BE$35,4,FALSE),"")</f>
        <v>0</v>
      </c>
      <c r="K40" s="132">
        <f>IFERROR(VLOOKUP(K$4, 'G&amp;A bed avail.'!$AW$22:$BE$35,4,FALSE),"")</f>
        <v>0</v>
      </c>
      <c r="L40" s="132">
        <f>IFERROR(VLOOKUP(L$4, 'G&amp;A bed avail.'!$AW$22:$BE$35,4,FALSE),"")</f>
        <v>0</v>
      </c>
      <c r="M40" s="132">
        <f>IFERROR(VLOOKUP(M$4, 'G&amp;A bed avail.'!$AW$22:$BE$35,4,FALSE),"")</f>
        <v>0</v>
      </c>
      <c r="N40" s="132">
        <f>IFERROR(VLOOKUP(N$4, 'G&amp;A bed avail.'!$AW$22:$BE$35,4,FALSE),"")</f>
        <v>0</v>
      </c>
      <c r="O40" s="132">
        <f>IFERROR(VLOOKUP(O$4, 'G&amp;A bed avail.'!$AW$22:$BE$35,4,FALSE),"")</f>
        <v>0</v>
      </c>
      <c r="P40" s="132">
        <f>IFERROR(VLOOKUP(P$4, 'G&amp;A bed avail.'!$AW$22:$BE$35,4,FALSE),"")</f>
        <v>0</v>
      </c>
      <c r="Q40" s="79" t="str">
        <f>IFERROR(VLOOKUP(Q$4, 'G&amp;A bed avail.'!$AW$22:$BD$36,4,FALSE),"")</f>
        <v/>
      </c>
      <c r="Z40" s="15"/>
      <c r="AA40" s="15"/>
      <c r="AB40" s="15"/>
      <c r="AC40" s="15"/>
    </row>
    <row r="41" spans="2:29" ht="15" hidden="1" customHeight="1" x14ac:dyDescent="0.35">
      <c r="B41" s="168"/>
      <c r="C41" s="1" t="s">
        <v>248</v>
      </c>
      <c r="D41" s="132" t="s">
        <v>293</v>
      </c>
      <c r="E41" s="132">
        <f>IFERROR(VLOOKUP(E$4, 'G&amp;A bed avail.'!$AW$22:$BE$35,8,FALSE),"")</f>
        <v>0</v>
      </c>
      <c r="F41" s="132">
        <f>IFERROR(VLOOKUP(F$4, 'G&amp;A bed avail.'!$AW$22:$BE$35,8,FALSE),"")</f>
        <v>0</v>
      </c>
      <c r="G41" s="132">
        <f>IFERROR(VLOOKUP(G$4, 'G&amp;A bed avail.'!$AW$22:$BE$35,8,FALSE),"")</f>
        <v>0</v>
      </c>
      <c r="H41" s="132">
        <f>IFERROR(VLOOKUP(H$4, 'G&amp;A bed avail.'!$AW$22:$BE$35,8,FALSE),"")</f>
        <v>0</v>
      </c>
      <c r="I41" s="132">
        <f>IFERROR(VLOOKUP(I$4, 'G&amp;A bed avail.'!$AW$22:$BE$35,8,FALSE),"")</f>
        <v>0</v>
      </c>
      <c r="J41" s="132">
        <f>IFERROR(VLOOKUP(J$4, 'G&amp;A bed avail.'!$AW$22:$BE$35,8,FALSE),"")</f>
        <v>0</v>
      </c>
      <c r="K41" s="132">
        <f>IFERROR(VLOOKUP(K$4, 'G&amp;A bed avail.'!$AW$22:$BE$35,8,FALSE),"")</f>
        <v>0</v>
      </c>
      <c r="L41" s="132">
        <f>IFERROR(VLOOKUP(L$4, 'G&amp;A bed avail.'!$AW$22:$BE$35,8,FALSE),"")</f>
        <v>0</v>
      </c>
      <c r="M41" s="132">
        <f>IFERROR(VLOOKUP(M$4, 'G&amp;A bed avail.'!$AW$22:$BE$35,8,FALSE),"")</f>
        <v>0</v>
      </c>
      <c r="N41" s="132">
        <f>IFERROR(VLOOKUP(N$4, 'G&amp;A bed avail.'!$AW$22:$BE$35,8,FALSE),"")</f>
        <v>0</v>
      </c>
      <c r="O41" s="132">
        <f>IFERROR(VLOOKUP(O$4, 'G&amp;A bed avail.'!$AW$22:$BE$35,8,FALSE),"")</f>
        <v>0</v>
      </c>
      <c r="P41" s="132">
        <f>IFERROR(VLOOKUP(P$4, 'G&amp;A bed avail.'!$AW$22:$BE$35,8,FALSE),"")</f>
        <v>0</v>
      </c>
      <c r="Q41" s="79"/>
      <c r="Z41" s="15"/>
      <c r="AA41" s="15"/>
      <c r="AB41" s="15"/>
      <c r="AC41" s="15"/>
    </row>
    <row r="42" spans="2:29" ht="15" hidden="1" customHeight="1" x14ac:dyDescent="0.35">
      <c r="B42" s="168"/>
      <c r="C42" s="1" t="s">
        <v>249</v>
      </c>
      <c r="D42" s="132" t="s">
        <v>293</v>
      </c>
      <c r="E42" s="132">
        <f>IFERROR(VLOOKUP(E$4, 'G&amp;A bed avail.'!$AW$22:$BE$35,5,FALSE),"")</f>
        <v>0</v>
      </c>
      <c r="F42" s="132">
        <f>IFERROR(VLOOKUP(F$4, 'G&amp;A bed avail.'!$AW$22:$BE$35,5,FALSE),"")</f>
        <v>0</v>
      </c>
      <c r="G42" s="132">
        <f>IFERROR(VLOOKUP(G$4, 'G&amp;A bed avail.'!$AW$22:$BE$35,5,FALSE),"")</f>
        <v>0</v>
      </c>
      <c r="H42" s="132">
        <f>IFERROR(VLOOKUP(H$4, 'G&amp;A bed avail.'!$AW$22:$BE$35,5,FALSE),"")</f>
        <v>0</v>
      </c>
      <c r="I42" s="132">
        <f>IFERROR(VLOOKUP(I$4, 'G&amp;A bed avail.'!$AW$22:$BE$35,5,FALSE),"")</f>
        <v>0</v>
      </c>
      <c r="J42" s="132">
        <f>IFERROR(VLOOKUP(J$4, 'G&amp;A bed avail.'!$AW$22:$BE$35,5,FALSE),"")</f>
        <v>0</v>
      </c>
      <c r="K42" s="132">
        <f>IFERROR(VLOOKUP(K$4, 'G&amp;A bed avail.'!$AW$22:$BE$35,5,FALSE),"")</f>
        <v>0</v>
      </c>
      <c r="L42" s="132">
        <f>IFERROR(VLOOKUP(L$4, 'G&amp;A bed avail.'!$AW$22:$BE$35,5,FALSE),"")</f>
        <v>0</v>
      </c>
      <c r="M42" s="132">
        <f>IFERROR(VLOOKUP(M$4, 'G&amp;A bed avail.'!$AW$22:$BE$35,5,FALSE),"")</f>
        <v>0</v>
      </c>
      <c r="N42" s="132">
        <f>IFERROR(VLOOKUP(N$4, 'G&amp;A bed avail.'!$AW$22:$BE$35,5,FALSE),"")</f>
        <v>0</v>
      </c>
      <c r="O42" s="132">
        <f>IFERROR(VLOOKUP(O$4, 'G&amp;A bed avail.'!$AW$22:$BE$35,5,FALSE),"")</f>
        <v>0</v>
      </c>
      <c r="P42" s="132">
        <f>IFERROR(VLOOKUP(P$4, 'G&amp;A bed avail.'!$AW$22:$BE$35,5,FALSE),"")</f>
        <v>0</v>
      </c>
      <c r="Q42" s="79"/>
      <c r="Z42" s="15"/>
      <c r="AA42" s="15"/>
      <c r="AB42" s="15"/>
      <c r="AC42" s="15"/>
    </row>
    <row r="43" spans="2:29" hidden="1" x14ac:dyDescent="0.35">
      <c r="B43" s="168"/>
      <c r="C43" s="1" t="s">
        <v>251</v>
      </c>
      <c r="D43" s="132" t="s">
        <v>293</v>
      </c>
      <c r="E43" s="132">
        <f>IFERROR(VLOOKUP(E$4, 'G&amp;A bed avail.'!$AW$22:$BE$35,9,FALSE),"")</f>
        <v>0</v>
      </c>
      <c r="F43" s="132">
        <f>IFERROR(VLOOKUP(F$4, 'G&amp;A bed avail.'!$AW$22:$BE$35,9,FALSE),"")</f>
        <v>0</v>
      </c>
      <c r="G43" s="132">
        <f>IFERROR(VLOOKUP(G$4, 'G&amp;A bed avail.'!$AW$22:$BE$35,9,FALSE),"")</f>
        <v>0</v>
      </c>
      <c r="H43" s="132">
        <f>IFERROR(VLOOKUP(H$4, 'G&amp;A bed avail.'!$AW$22:$BE$35,9,FALSE),"")</f>
        <v>0</v>
      </c>
      <c r="I43" s="132">
        <f>IFERROR(VLOOKUP(I$4, 'G&amp;A bed avail.'!$AW$22:$BE$35,9,FALSE),"")</f>
        <v>0</v>
      </c>
      <c r="J43" s="132">
        <f>IFERROR(VLOOKUP(J$4, 'G&amp;A bed avail.'!$AW$22:$BE$35,9,FALSE),"")</f>
        <v>0</v>
      </c>
      <c r="K43" s="132">
        <f>IFERROR(VLOOKUP(K$4, 'G&amp;A bed avail.'!$AW$22:$BE$35,9,FALSE),"")</f>
        <v>0</v>
      </c>
      <c r="L43" s="132">
        <f>IFERROR(VLOOKUP(L$4, 'G&amp;A bed avail.'!$AW$22:$BE$35,9,FALSE),"")</f>
        <v>0</v>
      </c>
      <c r="M43" s="132">
        <f>IFERROR(VLOOKUP(M$4, 'G&amp;A bed avail.'!$AW$22:$BE$35,9,FALSE),"")</f>
        <v>0</v>
      </c>
      <c r="N43" s="132">
        <f>IFERROR(VLOOKUP(N$4, 'G&amp;A bed avail.'!$AW$22:$BE$35,9,FALSE),"")</f>
        <v>0</v>
      </c>
      <c r="O43" s="132">
        <f>IFERROR(VLOOKUP(O$4, 'G&amp;A bed avail.'!$AW$22:$BE$35,9,FALSE),"")</f>
        <v>0</v>
      </c>
      <c r="P43" s="132">
        <f>IFERROR(VLOOKUP(P$4, 'G&amp;A bed avail.'!$AW$22:$BE$35,9,FALSE),"")</f>
        <v>0</v>
      </c>
      <c r="Q43" s="79" t="str">
        <f>IFERROR(VLOOKUP(Q$4, 'G&amp;A bed avail.'!$AW$22:$BD$36,5,FALSE),"")</f>
        <v/>
      </c>
      <c r="Z43" s="15"/>
      <c r="AA43" s="15"/>
      <c r="AB43" s="15"/>
      <c r="AC43" s="15"/>
    </row>
    <row r="44" spans="2:29" hidden="1" x14ac:dyDescent="0.35">
      <c r="B44" s="168"/>
      <c r="C44" s="1" t="s">
        <v>217</v>
      </c>
      <c r="D44" s="132" t="s">
        <v>293</v>
      </c>
      <c r="E44" s="132">
        <f>IFERROR(VLOOKUP(E$4, 'G&amp;A bed avail.'!$AW$22:$BE$35,6,FALSE),"")</f>
        <v>0</v>
      </c>
      <c r="F44" s="132">
        <f>IFERROR(VLOOKUP(F$4, 'G&amp;A bed avail.'!$AW$22:$BE$35,6,FALSE),"")</f>
        <v>0</v>
      </c>
      <c r="G44" s="132">
        <f>IFERROR(VLOOKUP(G$4, 'G&amp;A bed avail.'!$AW$22:$BE$35,6,FALSE),"")</f>
        <v>0</v>
      </c>
      <c r="H44" s="132">
        <f>IFERROR(VLOOKUP(H$4, 'G&amp;A bed avail.'!$AW$22:$BE$35,6,FALSE),"")</f>
        <v>0</v>
      </c>
      <c r="I44" s="132">
        <f>IFERROR(VLOOKUP(I$4, 'G&amp;A bed avail.'!$AW$22:$BE$35,6,FALSE),"")</f>
        <v>0</v>
      </c>
      <c r="J44" s="132">
        <f>IFERROR(VLOOKUP(J$4, 'G&amp;A bed avail.'!$AW$22:$BE$35,6,FALSE),"")</f>
        <v>0</v>
      </c>
      <c r="K44" s="132">
        <f>IFERROR(VLOOKUP(K$4, 'G&amp;A bed avail.'!$AW$22:$BE$35,6,FALSE),"")</f>
        <v>0</v>
      </c>
      <c r="L44" s="132">
        <f>IFERROR(VLOOKUP(L$4, 'G&amp;A bed avail.'!$AW$22:$BE$35,6,FALSE),"")</f>
        <v>0</v>
      </c>
      <c r="M44" s="132">
        <f>IFERROR(VLOOKUP(M$4, 'G&amp;A bed avail.'!$AW$22:$BE$35,6,FALSE),"")</f>
        <v>0</v>
      </c>
      <c r="N44" s="132">
        <f>IFERROR(VLOOKUP(N$4, 'G&amp;A bed avail.'!$AW$22:$BE$35,6,FALSE),"")</f>
        <v>0</v>
      </c>
      <c r="O44" s="132">
        <f>IFERROR(VLOOKUP(O$4, 'G&amp;A bed avail.'!$AW$22:$BE$35,6,FALSE),"")</f>
        <v>0</v>
      </c>
      <c r="P44" s="132">
        <f>IFERROR(VLOOKUP(P$4, 'G&amp;A bed avail.'!$AW$22:$BE$35,6,FALSE),"")</f>
        <v>0</v>
      </c>
      <c r="Q44" s="79" t="str">
        <f>IFERROR(VLOOKUP(Q$4, 'G&amp;A bed avail.'!$AW$22:$BD$36,6,FALSE),"")</f>
        <v/>
      </c>
      <c r="Z44" s="15"/>
      <c r="AA44" s="15"/>
      <c r="AB44" s="15"/>
      <c r="AC44" s="15"/>
    </row>
    <row r="45" spans="2:29" hidden="1" x14ac:dyDescent="0.35">
      <c r="B45" s="168"/>
      <c r="C45" s="11" t="s">
        <v>218</v>
      </c>
      <c r="D45" s="132" t="s">
        <v>293</v>
      </c>
      <c r="E45" s="132">
        <f>IFERROR(VLOOKUP(E$4, 'G&amp;A bed avail.'!$AW$22:$BE$35,7,FALSE),"")</f>
        <v>0</v>
      </c>
      <c r="F45" s="132">
        <f>IFERROR(VLOOKUP(F$4, 'G&amp;A bed avail.'!$AW$22:$BE$35,7,FALSE),"")</f>
        <v>0</v>
      </c>
      <c r="G45" s="132">
        <f>IFERROR(VLOOKUP(G$4, 'G&amp;A bed avail.'!$AW$22:$BE$35,7,FALSE),"")</f>
        <v>0</v>
      </c>
      <c r="H45" s="132">
        <f>IFERROR(VLOOKUP(H$4, 'G&amp;A bed avail.'!$AW$22:$BE$35,7,FALSE),"")</f>
        <v>0</v>
      </c>
      <c r="I45" s="132">
        <f>IFERROR(VLOOKUP(I$4, 'G&amp;A bed avail.'!$AW$22:$BE$35,7,FALSE),"")</f>
        <v>0</v>
      </c>
      <c r="J45" s="132">
        <f>IFERROR(VLOOKUP(J$4, 'G&amp;A bed avail.'!$AW$22:$BE$35,7,FALSE),"")</f>
        <v>0</v>
      </c>
      <c r="K45" s="132">
        <f>IFERROR(VLOOKUP(K$4, 'G&amp;A bed avail.'!$AW$22:$BE$35,7,FALSE),"")</f>
        <v>0</v>
      </c>
      <c r="L45" s="132">
        <f>IFERROR(VLOOKUP(L$4, 'G&amp;A bed avail.'!$AW$22:$BE$35,7,FALSE),"")</f>
        <v>0</v>
      </c>
      <c r="M45" s="132">
        <f>IFERROR(VLOOKUP(M$4, 'G&amp;A bed avail.'!$AW$22:$BE$35,7,FALSE),"")</f>
        <v>0</v>
      </c>
      <c r="N45" s="132">
        <f>IFERROR(VLOOKUP(N$4, 'G&amp;A bed avail.'!$AW$22:$BE$35,7,FALSE),"")</f>
        <v>0</v>
      </c>
      <c r="O45" s="132">
        <f>IFERROR(VLOOKUP(O$4, 'G&amp;A bed avail.'!$AW$22:$BE$35,7,FALSE),"")</f>
        <v>0</v>
      </c>
      <c r="P45" s="132">
        <f>IFERROR(VLOOKUP(P$4, 'G&amp;A bed avail.'!$AW$22:$BE$35,7,FALSE),"")</f>
        <v>0</v>
      </c>
      <c r="Q45" s="79" t="str">
        <f>IFERROR(VLOOKUP(Q$4, 'G&amp;A bed avail.'!$AW$22:$BD$36,7,FALSE),"")</f>
        <v/>
      </c>
      <c r="Z45" s="15"/>
      <c r="AA45" s="15"/>
      <c r="AB45" s="15"/>
      <c r="AC45" s="15"/>
    </row>
    <row r="46" spans="2:29" ht="7.5" hidden="1" customHeight="1" x14ac:dyDescent="0.35">
      <c r="B46" s="168"/>
      <c r="C46" s="1"/>
      <c r="D46" s="33"/>
      <c r="E46" s="33"/>
      <c r="F46" s="33"/>
      <c r="G46" s="33"/>
      <c r="H46" s="33"/>
      <c r="I46" s="33"/>
      <c r="J46" s="33"/>
      <c r="K46" s="33"/>
      <c r="L46" s="33"/>
      <c r="M46" s="33"/>
      <c r="N46" s="33"/>
      <c r="O46" s="33"/>
      <c r="P46" s="33"/>
      <c r="Q46" s="33"/>
      <c r="Z46" s="15"/>
      <c r="AA46" s="15"/>
      <c r="AB46" s="15"/>
      <c r="AC46" s="15"/>
    </row>
    <row r="47" spans="2:29" ht="14.5" hidden="1" customHeight="1" x14ac:dyDescent="0.35">
      <c r="B47" s="168"/>
      <c r="C47" s="1" t="s">
        <v>209</v>
      </c>
      <c r="D47" s="182" t="s">
        <v>247</v>
      </c>
      <c r="E47" s="183"/>
      <c r="F47" s="184"/>
      <c r="G47" s="182" t="s">
        <v>285</v>
      </c>
      <c r="H47" s="183"/>
      <c r="I47" s="183"/>
      <c r="J47" s="183"/>
      <c r="K47" s="185" t="s">
        <v>283</v>
      </c>
      <c r="L47" s="186"/>
      <c r="M47" s="186"/>
      <c r="N47" s="176" t="s">
        <v>293</v>
      </c>
      <c r="O47" s="176"/>
      <c r="P47" s="176"/>
      <c r="Q47" s="76"/>
      <c r="R47" s="58"/>
      <c r="Z47" s="15"/>
      <c r="AA47" s="15"/>
      <c r="AB47" s="15"/>
      <c r="AC47" s="15"/>
    </row>
    <row r="48" spans="2:29" ht="7.5" hidden="1" customHeight="1" x14ac:dyDescent="0.35">
      <c r="B48" s="168"/>
      <c r="C48" s="1"/>
      <c r="D48" s="33"/>
      <c r="E48" s="33"/>
      <c r="F48" s="33"/>
      <c r="G48" s="33"/>
      <c r="H48" s="33"/>
      <c r="I48" s="33"/>
      <c r="J48" s="33"/>
      <c r="K48" s="33"/>
      <c r="L48" s="33"/>
      <c r="M48" s="33"/>
      <c r="N48" s="33"/>
      <c r="O48" s="33"/>
      <c r="P48" s="33"/>
      <c r="Q48" s="33"/>
      <c r="Z48" s="15"/>
      <c r="AA48" s="15"/>
      <c r="AB48" s="15"/>
      <c r="AC48" s="15"/>
    </row>
    <row r="49" spans="2:29" ht="15" customHeight="1" x14ac:dyDescent="0.35">
      <c r="B49" s="168"/>
      <c r="C49" s="12" t="s">
        <v>213</v>
      </c>
      <c r="D49" s="122">
        <v>96675</v>
      </c>
      <c r="E49" s="122">
        <v>97067.71428571429</v>
      </c>
      <c r="F49" s="122">
        <v>97017.857142857145</v>
      </c>
      <c r="G49" s="122">
        <v>95816.71428571429</v>
      </c>
      <c r="H49" s="122">
        <v>97143.142857142855</v>
      </c>
      <c r="I49" s="122">
        <v>98417.571428571435</v>
      </c>
      <c r="J49" s="122">
        <v>98204</v>
      </c>
      <c r="K49" s="122">
        <v>97990</v>
      </c>
      <c r="L49" s="122">
        <v>98031.142857142855</v>
      </c>
      <c r="M49" s="122">
        <v>97854.71428571429</v>
      </c>
      <c r="N49" s="122">
        <v>97860.142857142855</v>
      </c>
      <c r="O49" s="122">
        <v>97790.28571428571</v>
      </c>
      <c r="P49" s="122">
        <v>97553.857142857145</v>
      </c>
      <c r="Q49" s="123"/>
      <c r="Z49" s="169" t="s">
        <v>214</v>
      </c>
      <c r="AA49" s="169"/>
      <c r="AB49" s="169"/>
      <c r="AC49" s="169"/>
    </row>
    <row r="50" spans="2:29" ht="15" customHeight="1" x14ac:dyDescent="0.35">
      <c r="B50" s="168"/>
      <c r="C50" s="1" t="s">
        <v>283</v>
      </c>
      <c r="D50" s="86">
        <v>88947.428571428565</v>
      </c>
      <c r="E50" s="86">
        <v>89394.142857142855</v>
      </c>
      <c r="F50" s="86">
        <v>89677.571428571435</v>
      </c>
      <c r="G50" s="86">
        <v>88347.428571428565</v>
      </c>
      <c r="H50" s="86">
        <v>89398.857142857145</v>
      </c>
      <c r="I50" s="86">
        <v>90884.571428571435</v>
      </c>
      <c r="J50" s="86">
        <v>90895.428571428565</v>
      </c>
      <c r="K50" s="86">
        <v>90505.571428571435</v>
      </c>
      <c r="L50" s="86">
        <v>90643.142857142855</v>
      </c>
      <c r="M50" s="86">
        <v>90539</v>
      </c>
      <c r="N50" s="86">
        <v>89811.571428571435</v>
      </c>
      <c r="O50" s="86">
        <v>89457.571428571435</v>
      </c>
      <c r="P50" s="86">
        <v>89619.142857142855</v>
      </c>
      <c r="R50" s="3"/>
      <c r="Z50" s="169"/>
      <c r="AA50" s="169"/>
      <c r="AB50" s="169"/>
      <c r="AC50" s="169"/>
    </row>
    <row r="51" spans="2:29" ht="7.5" customHeight="1" x14ac:dyDescent="0.35">
      <c r="B51" s="168"/>
      <c r="C51" s="1"/>
      <c r="D51" s="30">
        <v>0.85</v>
      </c>
      <c r="E51" s="30">
        <v>0.85</v>
      </c>
      <c r="F51" s="30">
        <v>0.85</v>
      </c>
      <c r="G51" s="30">
        <v>0.85</v>
      </c>
      <c r="H51" s="30">
        <v>0.85</v>
      </c>
      <c r="I51" s="30">
        <v>0.85</v>
      </c>
      <c r="J51" s="30">
        <v>0.85</v>
      </c>
      <c r="K51" s="30">
        <v>0.85</v>
      </c>
      <c r="L51" s="30">
        <v>0.85</v>
      </c>
      <c r="M51" s="30">
        <v>0.85</v>
      </c>
      <c r="N51" s="30">
        <v>0.85</v>
      </c>
      <c r="O51" s="30">
        <v>0.85</v>
      </c>
      <c r="P51" s="30">
        <v>0.85</v>
      </c>
      <c r="Q51" s="30">
        <v>0.85</v>
      </c>
      <c r="Z51" s="169"/>
      <c r="AA51" s="169"/>
      <c r="AB51" s="169"/>
      <c r="AC51" s="169"/>
    </row>
    <row r="52" spans="2:29" x14ac:dyDescent="0.35">
      <c r="B52" s="168"/>
      <c r="C52" s="16" t="s">
        <v>295</v>
      </c>
      <c r="D52" s="60">
        <f>IFERROR(VLOOKUP(D$4, 'G&amp;A bed avail.'!$AW$38:$BE$52,2,FALSE),"")</f>
        <v>94667.142857142855</v>
      </c>
      <c r="E52" s="105">
        <f>IFERROR(VLOOKUP(E$4, 'G&amp;A bed avail.'!$AW$38:$BE$52,2,FALSE),"")</f>
        <v>95070.28571428571</v>
      </c>
      <c r="F52" s="105">
        <f>IFERROR(VLOOKUP(F$4, 'G&amp;A bed avail.'!$AW$38:$BE$52,2,FALSE),"")</f>
        <v>94958.142857142855</v>
      </c>
      <c r="G52" s="105">
        <f>IFERROR(VLOOKUP(G$4, 'G&amp;A bed avail.'!$AW$38:$BE$52,2,FALSE),"")</f>
        <v>93420.28571428571</v>
      </c>
      <c r="H52" s="105">
        <f>IFERROR(VLOOKUP(H$4, 'G&amp;A bed avail.'!$AW$38:$BE$52,2,FALSE),"")</f>
        <v>93008.857142857145</v>
      </c>
      <c r="I52" s="105">
        <f>IFERROR(VLOOKUP(I$4, 'G&amp;A bed avail.'!$AW$38:$BE$52,2,FALSE),"")</f>
        <v>94616.71428571429</v>
      </c>
      <c r="J52" s="120">
        <f>IFERROR(VLOOKUP(J$4, 'G&amp;A bed avail.'!$AW$38:$BE$52,2,FALSE),"")</f>
        <v>95055.571428571435</v>
      </c>
      <c r="K52" s="105">
        <f>IFERROR(VLOOKUP(K$4, 'G&amp;A bed avail.'!$AW$38:$BE$52,2,FALSE),"")</f>
        <v>94923.28571428571</v>
      </c>
      <c r="L52" s="105">
        <f>IFERROR(VLOOKUP(L$4, 'G&amp;A bed avail.'!$AW$38:$BE$52,2,FALSE),"")</f>
        <v>95281.857142857145</v>
      </c>
      <c r="M52" s="105">
        <f>IFERROR(VLOOKUP(M$4, 'G&amp;A bed avail.'!$AW$38:$BE$52,2,FALSE),"")</f>
        <v>95747.428571428565</v>
      </c>
      <c r="N52" s="105">
        <f>IFERROR(VLOOKUP(N$4, 'G&amp;A bed avail.'!$AW$38:$BE$52,2,FALSE),"")</f>
        <v>95404.571428571435</v>
      </c>
      <c r="O52" s="105">
        <f>IFERROR(VLOOKUP(O$4, 'G&amp;A bed avail.'!$AW$38:$BE$52,2,FALSE),"")</f>
        <v>96079.28571428571</v>
      </c>
      <c r="P52" s="105">
        <f>IFERROR(VLOOKUP(P$4, 'G&amp;A bed avail.'!$AW$38:$BE$52,2,FALSE),"")</f>
        <v>96293</v>
      </c>
      <c r="Q52" s="78" t="str">
        <f>IFERROR(VLOOKUP(Q$4, 'G&amp;A bed avail.'!$AW$38:$BD$52,2,FALSE),"")</f>
        <v/>
      </c>
      <c r="R52" s="2"/>
      <c r="Z52" s="169"/>
      <c r="AA52" s="169"/>
      <c r="AB52" s="169"/>
      <c r="AC52" s="169"/>
    </row>
    <row r="53" spans="2:29" x14ac:dyDescent="0.35">
      <c r="B53" s="168"/>
      <c r="C53" s="1" t="s">
        <v>1</v>
      </c>
      <c r="D53" s="153">
        <f>IFERROR(VLOOKUP(D$4, 'G&amp;A bed avail.'!$AW$38:$BE$52,3,FALSE),"")</f>
        <v>13132.714285714286</v>
      </c>
      <c r="E53" s="153">
        <f>IFERROR(VLOOKUP(E$4, 'G&amp;A bed avail.'!$AW$38:$BE$52,3,FALSE),"")</f>
        <v>13100.428571428571</v>
      </c>
      <c r="F53" s="153">
        <f>IFERROR(VLOOKUP(F$4, 'G&amp;A bed avail.'!$AW$38:$BE$52,3,FALSE),"")</f>
        <v>13136.857142857143</v>
      </c>
      <c r="G53" s="153">
        <f>IFERROR(VLOOKUP(G$4, 'G&amp;A bed avail.'!$AW$38:$BE$52,3,FALSE),"")</f>
        <v>12937.428571428571</v>
      </c>
      <c r="H53" s="153">
        <f>IFERROR(VLOOKUP(H$4, 'G&amp;A bed avail.'!$AW$38:$BE$52,3,FALSE),"")</f>
        <v>12783.428571428571</v>
      </c>
      <c r="I53" s="153">
        <f>IFERROR(VLOOKUP(I$4, 'G&amp;A bed avail.'!$AW$38:$BE$52,3,FALSE),"")</f>
        <v>13016.428571428571</v>
      </c>
      <c r="J53" s="153">
        <f>IFERROR(VLOOKUP(J$4, 'G&amp;A bed avail.'!$AW$38:$BE$52,3,FALSE),"")</f>
        <v>13189.571428571429</v>
      </c>
      <c r="K53" s="153">
        <f>IFERROR(VLOOKUP(K$4, 'G&amp;A bed avail.'!$AW$38:$BE$52,3,FALSE),"")</f>
        <v>13256.714285714286</v>
      </c>
      <c r="L53" s="153">
        <f>IFERROR(VLOOKUP(L$4, 'G&amp;A bed avail.'!$AW$38:$BE$52,3,FALSE),"")</f>
        <v>13340.857142857143</v>
      </c>
      <c r="M53" s="153">
        <f>IFERROR(VLOOKUP(M$4, 'G&amp;A bed avail.'!$AW$38:$BE$52,3,FALSE),"")</f>
        <v>13413.285714285714</v>
      </c>
      <c r="N53" s="153">
        <f>IFERROR(VLOOKUP(N$4, 'G&amp;A bed avail.'!$AW$38:$BE$52,3,FALSE),"")</f>
        <v>13420</v>
      </c>
      <c r="O53" s="153">
        <f>IFERROR(VLOOKUP(O$4, 'G&amp;A bed avail.'!$AW$38:$BE$52,3,FALSE),"")</f>
        <v>13398.714285714286</v>
      </c>
      <c r="P53" s="153">
        <f>IFERROR(VLOOKUP(P$4, 'G&amp;A bed avail.'!$AW$38:$BE$52,3,FALSE),"")</f>
        <v>13482.857142857143</v>
      </c>
      <c r="Q53" s="79" t="str">
        <f>IFERROR(VLOOKUP(Q$4, 'G&amp;A bed avail.'!$AW$38:$BD$52,3,FALSE),"")</f>
        <v/>
      </c>
      <c r="Z53" s="173" t="s">
        <v>321</v>
      </c>
      <c r="AA53" s="173"/>
      <c r="AB53" s="173"/>
      <c r="AC53" s="173"/>
    </row>
    <row r="54" spans="2:29" ht="15" customHeight="1" x14ac:dyDescent="0.35">
      <c r="B54" s="168"/>
      <c r="C54" s="1" t="s">
        <v>220</v>
      </c>
      <c r="D54" s="153">
        <f>IFERROR(VLOOKUP(D$4, 'G&amp;A bed avail.'!$AW$38:$BE$52,4,FALSE),"")</f>
        <v>18066.428571428572</v>
      </c>
      <c r="E54" s="153">
        <f>IFERROR(VLOOKUP(E$4, 'G&amp;A bed avail.'!$AW$38:$BE$52,4,FALSE),"")</f>
        <v>18052.142857142859</v>
      </c>
      <c r="F54" s="153">
        <f>IFERROR(VLOOKUP(F$4, 'G&amp;A bed avail.'!$AW$38:$BE$52,4,FALSE),"")</f>
        <v>17990</v>
      </c>
      <c r="G54" s="153">
        <f>IFERROR(VLOOKUP(G$4, 'G&amp;A bed avail.'!$AW$38:$BE$52,4,FALSE),"")</f>
        <v>17756</v>
      </c>
      <c r="H54" s="153">
        <f>IFERROR(VLOOKUP(H$4, 'G&amp;A bed avail.'!$AW$38:$BE$52,4,FALSE),"")</f>
        <v>17752.857142857141</v>
      </c>
      <c r="I54" s="153">
        <f>IFERROR(VLOOKUP(I$4, 'G&amp;A bed avail.'!$AW$38:$BE$52,4,FALSE),"")</f>
        <v>18134.142857142859</v>
      </c>
      <c r="J54" s="153">
        <f>IFERROR(VLOOKUP(J$4, 'G&amp;A bed avail.'!$AW$38:$BE$52,4,FALSE),"")</f>
        <v>18299.571428571428</v>
      </c>
      <c r="K54" s="153">
        <f>IFERROR(VLOOKUP(K$4, 'G&amp;A bed avail.'!$AW$38:$BE$52,4,FALSE),"")</f>
        <v>18261.285714285714</v>
      </c>
      <c r="L54" s="153">
        <f>IFERROR(VLOOKUP(L$4, 'G&amp;A bed avail.'!$AW$38:$BE$52,4,FALSE),"")</f>
        <v>18236.857142857141</v>
      </c>
      <c r="M54" s="153">
        <f>IFERROR(VLOOKUP(M$4, 'G&amp;A bed avail.'!$AW$38:$BE$52,4,FALSE),"")</f>
        <v>18318.571428571428</v>
      </c>
      <c r="N54" s="153">
        <f>IFERROR(VLOOKUP(N$4, 'G&amp;A bed avail.'!$AW$38:$BE$52,4,FALSE),"")</f>
        <v>18297.285714285714</v>
      </c>
      <c r="O54" s="153">
        <f>IFERROR(VLOOKUP(O$4, 'G&amp;A bed avail.'!$AW$38:$BE$52,4,FALSE),"")</f>
        <v>18334.571428571428</v>
      </c>
      <c r="P54" s="153">
        <f>IFERROR(VLOOKUP(P$4, 'G&amp;A bed avail.'!$AW$38:$BE$52,4,FALSE),"")</f>
        <v>18325.285714285714</v>
      </c>
      <c r="Q54" s="79" t="str">
        <f>IFERROR(VLOOKUP(Q$4, 'G&amp;A bed avail.'!$AW$38:$BD$52,4,FALSE),"")</f>
        <v/>
      </c>
      <c r="Z54" s="173"/>
      <c r="AA54" s="173"/>
      <c r="AB54" s="173"/>
      <c r="AC54" s="173"/>
    </row>
    <row r="55" spans="2:29" ht="15" customHeight="1" x14ac:dyDescent="0.35">
      <c r="B55" s="168"/>
      <c r="C55" s="1" t="s">
        <v>248</v>
      </c>
      <c r="D55" s="153">
        <f>IFERROR(VLOOKUP(D$4, 'G&amp;A bed avail.'!$AW$38:$BE$52,8,FALSE),"")</f>
        <v>10194.142857142857</v>
      </c>
      <c r="E55" s="153">
        <f>IFERROR(VLOOKUP(E$4, 'G&amp;A bed avail.'!$AW$38:$BE$52,8,FALSE),"")</f>
        <v>10261.857142857143</v>
      </c>
      <c r="F55" s="153">
        <f>IFERROR(VLOOKUP(F$4, 'G&amp;A bed avail.'!$AW$38:$BE$52,8,FALSE),"")</f>
        <v>10275.428571428571</v>
      </c>
      <c r="G55" s="153">
        <f>IFERROR(VLOOKUP(G$4, 'G&amp;A bed avail.'!$AW$38:$BE$52,8,FALSE),"")</f>
        <v>10177.857142857143</v>
      </c>
      <c r="H55" s="153">
        <f>IFERROR(VLOOKUP(H$4, 'G&amp;A bed avail.'!$AW$38:$BE$52,8,FALSE),"")</f>
        <v>10096.714285714286</v>
      </c>
      <c r="I55" s="153">
        <f>IFERROR(VLOOKUP(I$4, 'G&amp;A bed avail.'!$AW$38:$BE$52,8,FALSE),"")</f>
        <v>10219.571428571429</v>
      </c>
      <c r="J55" s="153">
        <f>IFERROR(VLOOKUP(J$4, 'G&amp;A bed avail.'!$AW$38:$BE$52,8,FALSE),"")</f>
        <v>10227</v>
      </c>
      <c r="K55" s="153">
        <f>IFERROR(VLOOKUP(K$4, 'G&amp;A bed avail.'!$AW$38:$BE$52,8,FALSE),"")</f>
        <v>10148.857142857143</v>
      </c>
      <c r="L55" s="153">
        <f>IFERROR(VLOOKUP(L$4, 'G&amp;A bed avail.'!$AW$38:$BE$52,8,FALSE),"")</f>
        <v>10221.571428571429</v>
      </c>
      <c r="M55" s="153">
        <f>IFERROR(VLOOKUP(M$4, 'G&amp;A bed avail.'!$AW$38:$BE$52,8,FALSE),"")</f>
        <v>10312.142857142857</v>
      </c>
      <c r="N55" s="153">
        <f>IFERROR(VLOOKUP(N$4, 'G&amp;A bed avail.'!$AW$38:$BE$52,8,FALSE),"")</f>
        <v>10314</v>
      </c>
      <c r="O55" s="153">
        <f>IFERROR(VLOOKUP(O$4, 'G&amp;A bed avail.'!$AW$38:$BE$52,8,FALSE),"")</f>
        <v>10367.285714285714</v>
      </c>
      <c r="P55" s="153">
        <f>IFERROR(VLOOKUP(P$4, 'G&amp;A bed avail.'!$AW$38:$BE$52,8,FALSE),"")</f>
        <v>10394.142857142857</v>
      </c>
      <c r="Q55" s="79"/>
      <c r="Z55" s="173"/>
      <c r="AA55" s="173"/>
      <c r="AB55" s="173"/>
      <c r="AC55" s="173"/>
    </row>
    <row r="56" spans="2:29" ht="15" customHeight="1" x14ac:dyDescent="0.35">
      <c r="B56" s="168"/>
      <c r="C56" s="1" t="s">
        <v>249</v>
      </c>
      <c r="D56" s="153">
        <f>IFERROR(VLOOKUP(D$4, 'G&amp;A bed avail.'!$AW$38:$BE$52,5,FALSE),"")</f>
        <v>16371</v>
      </c>
      <c r="E56" s="153">
        <f>IFERROR(VLOOKUP(E$4, 'G&amp;A bed avail.'!$AW$38:$BE$52,5,FALSE),"")</f>
        <v>16605.428571428572</v>
      </c>
      <c r="F56" s="153">
        <f>IFERROR(VLOOKUP(F$4, 'G&amp;A bed avail.'!$AW$38:$BE$52,5,FALSE),"")</f>
        <v>16597.142857142859</v>
      </c>
      <c r="G56" s="153">
        <f>IFERROR(VLOOKUP(G$4, 'G&amp;A bed avail.'!$AW$38:$BE$52,5,FALSE),"")</f>
        <v>16255.857142857143</v>
      </c>
      <c r="H56" s="153">
        <f>IFERROR(VLOOKUP(H$4, 'G&amp;A bed avail.'!$AW$38:$BE$52,5,FALSE),"")</f>
        <v>16198.142857142857</v>
      </c>
      <c r="I56" s="153">
        <f>IFERROR(VLOOKUP(I$4, 'G&amp;A bed avail.'!$AW$38:$BE$52,5,FALSE),"")</f>
        <v>16459.142857142859</v>
      </c>
      <c r="J56" s="153">
        <f>IFERROR(VLOOKUP(J$4, 'G&amp;A bed avail.'!$AW$38:$BE$52,5,FALSE),"")</f>
        <v>16551.142857142859</v>
      </c>
      <c r="K56" s="153">
        <f>IFERROR(VLOOKUP(K$4, 'G&amp;A bed avail.'!$AW$38:$BE$52,5,FALSE),"")</f>
        <v>16512.571428571428</v>
      </c>
      <c r="L56" s="153">
        <f>IFERROR(VLOOKUP(L$4, 'G&amp;A bed avail.'!$AW$38:$BE$52,5,FALSE),"")</f>
        <v>16515.285714285714</v>
      </c>
      <c r="M56" s="153">
        <f>IFERROR(VLOOKUP(M$4, 'G&amp;A bed avail.'!$AW$38:$BE$52,5,FALSE),"")</f>
        <v>16582.142857142859</v>
      </c>
      <c r="N56" s="153">
        <f>IFERROR(VLOOKUP(N$4, 'G&amp;A bed avail.'!$AW$38:$BE$52,5,FALSE),"")</f>
        <v>16108.571428571429</v>
      </c>
      <c r="O56" s="153">
        <f>IFERROR(VLOOKUP(O$4, 'G&amp;A bed avail.'!$AW$38:$BE$52,5,FALSE),"")</f>
        <v>16754</v>
      </c>
      <c r="P56" s="153">
        <f>IFERROR(VLOOKUP(P$4, 'G&amp;A bed avail.'!$AW$38:$BE$52,5,FALSE),"")</f>
        <v>16731.285714285714</v>
      </c>
      <c r="Q56" s="79"/>
      <c r="Z56" s="173"/>
      <c r="AA56" s="173"/>
      <c r="AB56" s="173"/>
      <c r="AC56" s="173"/>
    </row>
    <row r="57" spans="2:29" x14ac:dyDescent="0.35">
      <c r="B57" s="168"/>
      <c r="C57" s="1" t="s">
        <v>251</v>
      </c>
      <c r="D57" s="153">
        <f>IFERROR(VLOOKUP(D$4, 'G&amp;A bed avail.'!$AW$38:$BE$52,9,FALSE),"")</f>
        <v>14077.571428571429</v>
      </c>
      <c r="E57" s="153">
        <f>IFERROR(VLOOKUP(E$4, 'G&amp;A bed avail.'!$AW$38:$BE$52,9,FALSE),"")</f>
        <v>14135</v>
      </c>
      <c r="F57" s="153">
        <f>IFERROR(VLOOKUP(F$4, 'G&amp;A bed avail.'!$AW$38:$BE$52,9,FALSE),"")</f>
        <v>14127.857142857143</v>
      </c>
      <c r="G57" s="153">
        <f>IFERROR(VLOOKUP(G$4, 'G&amp;A bed avail.'!$AW$38:$BE$52,9,FALSE),"")</f>
        <v>13972.428571428571</v>
      </c>
      <c r="H57" s="153">
        <f>IFERROR(VLOOKUP(H$4, 'G&amp;A bed avail.'!$AW$38:$BE$52,9,FALSE),"")</f>
        <v>13852.428571428571</v>
      </c>
      <c r="I57" s="153">
        <f>IFERROR(VLOOKUP(I$4, 'G&amp;A bed avail.'!$AW$38:$BE$52,9,FALSE),"")</f>
        <v>14007.428571428571</v>
      </c>
      <c r="J57" s="153">
        <f>IFERROR(VLOOKUP(J$4, 'G&amp;A bed avail.'!$AW$38:$BE$52,9,FALSE),"")</f>
        <v>13988.142857142857</v>
      </c>
      <c r="K57" s="153">
        <f>IFERROR(VLOOKUP(K$4, 'G&amp;A bed avail.'!$AW$38:$BE$52,9,FALSE),"")</f>
        <v>14002.428571428571</v>
      </c>
      <c r="L57" s="153">
        <f>IFERROR(VLOOKUP(L$4, 'G&amp;A bed avail.'!$AW$38:$BE$52,9,FALSE),"")</f>
        <v>14032.571428571429</v>
      </c>
      <c r="M57" s="153">
        <f>IFERROR(VLOOKUP(M$4, 'G&amp;A bed avail.'!$AW$38:$BE$52,9,FALSE),"")</f>
        <v>14086.714285714286</v>
      </c>
      <c r="N57" s="153">
        <f>IFERROR(VLOOKUP(N$4, 'G&amp;A bed avail.'!$AW$38:$BE$52,9,FALSE),"")</f>
        <v>14079.142857142857</v>
      </c>
      <c r="O57" s="153">
        <f>IFERROR(VLOOKUP(O$4, 'G&amp;A bed avail.'!$AW$38:$BE$52,9,FALSE),"")</f>
        <v>14049.714285714286</v>
      </c>
      <c r="P57" s="153">
        <f>IFERROR(VLOOKUP(P$4, 'G&amp;A bed avail.'!$AW$38:$BE$52,9,FALSE),"")</f>
        <v>14115.714285714286</v>
      </c>
      <c r="Q57" s="79" t="str">
        <f>IFERROR(VLOOKUP(Q$4, 'G&amp;A bed avail.'!$AW$38:$BD$52,5,FALSE),"")</f>
        <v/>
      </c>
      <c r="Z57" s="173"/>
      <c r="AA57" s="173"/>
      <c r="AB57" s="173"/>
      <c r="AC57" s="173"/>
    </row>
    <row r="58" spans="2:29" x14ac:dyDescent="0.35">
      <c r="B58" s="168"/>
      <c r="C58" s="1" t="s">
        <v>217</v>
      </c>
      <c r="D58" s="153">
        <f>IFERROR(VLOOKUP(D$4, 'G&amp;A bed avail.'!$AW$38:$BE$52,6,FALSE),"")</f>
        <v>13103.857142857143</v>
      </c>
      <c r="E58" s="153">
        <f>IFERROR(VLOOKUP(E$4, 'G&amp;A bed avail.'!$AW$38:$BE$52,6,FALSE),"")</f>
        <v>13166.571428571429</v>
      </c>
      <c r="F58" s="153">
        <f>IFERROR(VLOOKUP(F$4, 'G&amp;A bed avail.'!$AW$38:$BE$52,6,FALSE),"")</f>
        <v>13164.142857142857</v>
      </c>
      <c r="G58" s="153">
        <f>IFERROR(VLOOKUP(G$4, 'G&amp;A bed avail.'!$AW$38:$BE$52,6,FALSE),"")</f>
        <v>12859.142857142857</v>
      </c>
      <c r="H58" s="153">
        <f>IFERROR(VLOOKUP(H$4, 'G&amp;A bed avail.'!$AW$38:$BE$52,6,FALSE),"")</f>
        <v>12862.142857142857</v>
      </c>
      <c r="I58" s="153">
        <f>IFERROR(VLOOKUP(I$4, 'G&amp;A bed avail.'!$AW$38:$BE$52,6,FALSE),"")</f>
        <v>13142.714285714286</v>
      </c>
      <c r="J58" s="153">
        <f>IFERROR(VLOOKUP(J$4, 'G&amp;A bed avail.'!$AW$38:$BE$52,6,FALSE),"")</f>
        <v>13162.285714285714</v>
      </c>
      <c r="K58" s="153">
        <f>IFERROR(VLOOKUP(K$4, 'G&amp;A bed avail.'!$AW$38:$BE$52,6,FALSE),"")</f>
        <v>13063.142857142857</v>
      </c>
      <c r="L58" s="153">
        <f>IFERROR(VLOOKUP(L$4, 'G&amp;A bed avail.'!$AW$38:$BE$52,6,FALSE),"")</f>
        <v>13199.285714285714</v>
      </c>
      <c r="M58" s="153">
        <f>IFERROR(VLOOKUP(M$4, 'G&amp;A bed avail.'!$AW$38:$BE$52,6,FALSE),"")</f>
        <v>13227.142857142857</v>
      </c>
      <c r="N58" s="153">
        <f>IFERROR(VLOOKUP(N$4, 'G&amp;A bed avail.'!$AW$38:$BE$52,6,FALSE),"")</f>
        <v>13320</v>
      </c>
      <c r="O58" s="153">
        <f>IFERROR(VLOOKUP(O$4, 'G&amp;A bed avail.'!$AW$38:$BE$52,6,FALSE),"")</f>
        <v>13287.571428571429</v>
      </c>
      <c r="P58" s="153">
        <f>IFERROR(VLOOKUP(P$4, 'G&amp;A bed avail.'!$AW$38:$BE$52,6,FALSE),"")</f>
        <v>13316.428571428571</v>
      </c>
      <c r="Q58" s="79" t="str">
        <f>IFERROR(VLOOKUP(Q$4, 'G&amp;A bed avail.'!$AW$38:$BD$52,6,FALSE),"")</f>
        <v/>
      </c>
      <c r="Z58" s="173"/>
      <c r="AA58" s="173"/>
      <c r="AB58" s="173"/>
      <c r="AC58" s="173"/>
    </row>
    <row r="59" spans="2:29" x14ac:dyDescent="0.35">
      <c r="B59" s="168"/>
      <c r="C59" s="11" t="s">
        <v>218</v>
      </c>
      <c r="D59" s="153">
        <f>IFERROR(VLOOKUP(D$4, 'G&amp;A bed avail.'!$AW$38:$BE$52,7,FALSE),"")</f>
        <v>9721.4285714285706</v>
      </c>
      <c r="E59" s="153">
        <f>IFERROR(VLOOKUP(E$4, 'G&amp;A bed avail.'!$AW$38:$BE$52,7,FALSE),"")</f>
        <v>9748.8571428571431</v>
      </c>
      <c r="F59" s="153">
        <f>IFERROR(VLOOKUP(F$4, 'G&amp;A bed avail.'!$AW$38:$BE$52,7,FALSE),"")</f>
        <v>9666.7142857142862</v>
      </c>
      <c r="G59" s="153">
        <f>IFERROR(VLOOKUP(G$4, 'G&amp;A bed avail.'!$AW$38:$BE$52,7,FALSE),"")</f>
        <v>9461.5714285714294</v>
      </c>
      <c r="H59" s="153">
        <f>IFERROR(VLOOKUP(H$4, 'G&amp;A bed avail.'!$AW$38:$BE$52,7,FALSE),"")</f>
        <v>9463.1428571428569</v>
      </c>
      <c r="I59" s="153">
        <f>IFERROR(VLOOKUP(I$4, 'G&amp;A bed avail.'!$AW$38:$BE$52,7,FALSE),"")</f>
        <v>9637.2857142857138</v>
      </c>
      <c r="J59" s="153">
        <f>IFERROR(VLOOKUP(J$4, 'G&amp;A bed avail.'!$AW$38:$BE$52,7,FALSE),"")</f>
        <v>9637.8571428571431</v>
      </c>
      <c r="K59" s="153">
        <f>IFERROR(VLOOKUP(K$4, 'G&amp;A bed avail.'!$AW$38:$BE$52,7,FALSE),"")</f>
        <v>9678.2857142857138</v>
      </c>
      <c r="L59" s="153">
        <f>IFERROR(VLOOKUP(L$4, 'G&amp;A bed avail.'!$AW$38:$BE$52,7,FALSE),"")</f>
        <v>9735.4285714285706</v>
      </c>
      <c r="M59" s="153">
        <f>IFERROR(VLOOKUP(M$4, 'G&amp;A bed avail.'!$AW$38:$BE$52,7,FALSE),"")</f>
        <v>9807.4285714285706</v>
      </c>
      <c r="N59" s="153">
        <f>IFERROR(VLOOKUP(N$4, 'G&amp;A bed avail.'!$AW$38:$BE$52,7,FALSE),"")</f>
        <v>9865.5714285714294</v>
      </c>
      <c r="O59" s="153">
        <f>IFERROR(VLOOKUP(O$4, 'G&amp;A bed avail.'!$AW$38:$BE$52,7,FALSE),"")</f>
        <v>9887.4285714285706</v>
      </c>
      <c r="P59" s="153">
        <f>IFERROR(VLOOKUP(P$4, 'G&amp;A bed avail.'!$AW$38:$BE$52,7,FALSE),"")</f>
        <v>9927.2857142857138</v>
      </c>
      <c r="Q59" s="79" t="str">
        <f>IFERROR(VLOOKUP(Q$4, 'G&amp;A bed avail.'!$AW$38:$BD$52,7,FALSE),"")</f>
        <v/>
      </c>
      <c r="Z59" s="173"/>
      <c r="AA59" s="173"/>
      <c r="AB59" s="173"/>
      <c r="AC59" s="173"/>
    </row>
    <row r="60" spans="2:29" ht="7.5" customHeight="1" x14ac:dyDescent="0.35">
      <c r="B60" s="168"/>
      <c r="C60" s="1"/>
      <c r="D60" s="33"/>
      <c r="E60" s="33"/>
      <c r="F60" s="33"/>
      <c r="G60" s="33"/>
      <c r="H60" s="33"/>
      <c r="I60" s="33"/>
      <c r="J60" s="33"/>
      <c r="K60" s="33"/>
      <c r="L60" s="33"/>
      <c r="M60" s="33"/>
      <c r="N60" s="33"/>
      <c r="O60" s="33"/>
      <c r="P60" s="33"/>
      <c r="Q60" s="33"/>
      <c r="Z60" s="173"/>
      <c r="AA60" s="173"/>
      <c r="AB60" s="173"/>
      <c r="AC60" s="173"/>
    </row>
    <row r="61" spans="2:29" x14ac:dyDescent="0.35">
      <c r="B61" s="168"/>
      <c r="C61" s="1" t="s">
        <v>210</v>
      </c>
      <c r="D61" s="182" t="s">
        <v>283</v>
      </c>
      <c r="E61" s="183"/>
      <c r="F61" s="184"/>
      <c r="G61" s="182" t="s">
        <v>298</v>
      </c>
      <c r="H61" s="183"/>
      <c r="I61" s="183"/>
      <c r="J61" s="183"/>
      <c r="K61" s="185" t="s">
        <v>295</v>
      </c>
      <c r="L61" s="186"/>
      <c r="M61" s="186"/>
      <c r="N61" s="176" t="str">
        <f>TEXT('G&amp;A bed avail.'!BM8,"0,0")&amp;" ("&amp;TEXT('G&amp;A bed avail.'!BO8,"d-mmm")&amp;")"</f>
        <v>96,582 (23-Feb)</v>
      </c>
      <c r="O61" s="176"/>
      <c r="P61" s="176"/>
      <c r="Q61" s="76"/>
      <c r="R61" s="58"/>
      <c r="Z61" s="173"/>
      <c r="AA61" s="173"/>
      <c r="AB61" s="173"/>
      <c r="AC61" s="173"/>
    </row>
    <row r="62" spans="2:29" ht="30" customHeight="1" x14ac:dyDescent="0.35">
      <c r="C62" s="1"/>
      <c r="D62" s="118">
        <v>0.94888026894233257</v>
      </c>
      <c r="E62" s="118">
        <v>0.94930784695220127</v>
      </c>
      <c r="F62" s="118">
        <v>0.94160427020062576</v>
      </c>
      <c r="G62" s="118">
        <v>0.89356762986475669</v>
      </c>
      <c r="H62" s="118">
        <v>0.94167223037579306</v>
      </c>
      <c r="I62" s="118">
        <v>0.95106855192815454</v>
      </c>
      <c r="J62" s="118">
        <v>0.94967036547827555</v>
      </c>
      <c r="K62" s="118">
        <v>0.94301021970171883</v>
      </c>
      <c r="L62" s="118">
        <v>0.94817681844545032</v>
      </c>
      <c r="M62" s="118">
        <v>0.94163650776734609</v>
      </c>
      <c r="N62" s="118">
        <v>0.94020475284699301</v>
      </c>
      <c r="O62" s="118">
        <v>0.93727685484389334</v>
      </c>
      <c r="P62" s="118">
        <v>0.9394634758528988</v>
      </c>
    </row>
    <row r="63" spans="2:29" ht="15" customHeight="1" x14ac:dyDescent="0.35">
      <c r="B63" s="168" t="s">
        <v>4</v>
      </c>
      <c r="C63" s="1" t="s">
        <v>283</v>
      </c>
      <c r="D63" s="129">
        <v>0.87132848938056506</v>
      </c>
      <c r="E63" s="129">
        <v>0.88944465840683073</v>
      </c>
      <c r="F63" s="129">
        <v>0.88805132036518131</v>
      </c>
      <c r="G63" s="129">
        <v>0.82878958398013036</v>
      </c>
      <c r="H63" s="129">
        <v>0.86668413786050313</v>
      </c>
      <c r="I63" s="129">
        <v>0.88654682863035061</v>
      </c>
      <c r="J63" s="129">
        <v>0.87229437909811591</v>
      </c>
      <c r="K63" s="129">
        <v>0.87596501557125928</v>
      </c>
      <c r="L63" s="129">
        <v>0.86871120973613958</v>
      </c>
      <c r="M63" s="129">
        <v>0.86092496840351351</v>
      </c>
      <c r="N63" s="129">
        <v>0.84420397626141075</v>
      </c>
      <c r="O63" s="129">
        <v>0.85172699587833334</v>
      </c>
      <c r="P63" s="129">
        <v>0.85793532631740033</v>
      </c>
      <c r="R63" s="3"/>
      <c r="Z63" s="169" t="s">
        <v>333</v>
      </c>
      <c r="AA63" s="169"/>
      <c r="AB63" s="169"/>
      <c r="AC63" s="169"/>
    </row>
    <row r="64" spans="2:29" ht="7.5" customHeight="1" x14ac:dyDescent="0.35">
      <c r="B64" s="168"/>
      <c r="C64" s="1"/>
      <c r="D64" s="30">
        <v>0.85</v>
      </c>
      <c r="E64" s="30">
        <v>0.85</v>
      </c>
      <c r="F64" s="30">
        <v>0.85</v>
      </c>
      <c r="G64" s="30">
        <v>0.85</v>
      </c>
      <c r="H64" s="30">
        <v>0.85</v>
      </c>
      <c r="I64" s="30">
        <v>0.85</v>
      </c>
      <c r="J64" s="30">
        <v>0.85</v>
      </c>
      <c r="K64" s="30">
        <v>0.85</v>
      </c>
      <c r="L64" s="30">
        <v>0.85</v>
      </c>
      <c r="M64" s="30">
        <v>0.85</v>
      </c>
      <c r="N64" s="30">
        <v>0.85</v>
      </c>
      <c r="O64" s="30">
        <v>0.85</v>
      </c>
      <c r="P64" s="30">
        <v>0.85</v>
      </c>
      <c r="Q64" s="30">
        <v>0.85</v>
      </c>
      <c r="Z64" s="169"/>
      <c r="AA64" s="169"/>
      <c r="AB64" s="169"/>
      <c r="AC64" s="169"/>
    </row>
    <row r="65" spans="2:29" x14ac:dyDescent="0.35">
      <c r="B65" s="168"/>
      <c r="C65" s="16" t="s">
        <v>295</v>
      </c>
      <c r="D65" s="61">
        <f>IFERROR(VLOOKUP(D$4,'G&amp;A bed occ.'!$AA$3:$AI$16,2,FALSE),"")</f>
        <v>0.92959391552356374</v>
      </c>
      <c r="E65" s="61">
        <f>IFERROR(VLOOKUP(E$4,'G&amp;A bed occ.'!$AA$3:$AI$16,2,FALSE),"")</f>
        <v>0.93463182126907607</v>
      </c>
      <c r="F65" s="61">
        <f>IFERROR(VLOOKUP(F$4,'G&amp;A bed occ.'!$AA$3:$AI$16,2,FALSE),"")</f>
        <v>0.92344446500488186</v>
      </c>
      <c r="G65" s="61">
        <f>IFERROR(VLOOKUP(G$4,'G&amp;A bed occ.'!$AA$3:$AI$16,2,FALSE),"")</f>
        <v>0.86290068538188403</v>
      </c>
      <c r="H65" s="61">
        <f>IFERROR(VLOOKUP(H$4,'G&amp;A bed occ.'!$AA$3:$AI$16,2,FALSE),"")</f>
        <v>0.88462696333068125</v>
      </c>
      <c r="I65" s="61">
        <f>IFERROR(VLOOKUP(I$4,'G&amp;A bed occ.'!$AA$3:$AI$16,2,FALSE),"")</f>
        <v>0.9177780428405129</v>
      </c>
      <c r="J65" s="61">
        <f>IFERROR(VLOOKUP(J$4,'G&amp;A bed occ.'!$AA$3:$AI$16,2,FALSE),"")</f>
        <v>0.91905336577550878</v>
      </c>
      <c r="K65" s="61">
        <f>IFERROR(VLOOKUP(K$4,'G&amp;A bed occ.'!$AA$3:$AI$16,2,FALSE),"")</f>
        <v>0.91875243617778568</v>
      </c>
      <c r="L65" s="61">
        <f>IFERROR(VLOOKUP(L$4,'G&amp;A bed occ.'!$AA$3:$AI$16,2,FALSE),"")</f>
        <v>0.92302686915362386</v>
      </c>
      <c r="M65" s="61">
        <f>IFERROR(VLOOKUP(M$4,'G&amp;A bed occ.'!$AA$3:$AI$16,2,FALSE),"")</f>
        <v>0.92786676852194461</v>
      </c>
      <c r="N65" s="61">
        <f>IFERROR(VLOOKUP(N$4,'G&amp;A bed occ.'!$AA$3:$AI$16,2,FALSE),"")</f>
        <v>0.92509493405527143</v>
      </c>
      <c r="O65" s="61">
        <f>IFERROR(VLOOKUP(O$4,'G&amp;A bed occ.'!$AA$3:$AI$16,2,FALSE),"")</f>
        <v>0.92475559619659353</v>
      </c>
      <c r="P65" s="61">
        <f>IFERROR(VLOOKUP(P$4,'G&amp;A bed occ.'!$AA$3:$AI$16,2,FALSE),"")</f>
        <v>0.92450274534122789</v>
      </c>
      <c r="Q65" s="81" t="str">
        <f>IFERROR(VLOOKUP(Q$4,'G&amp;A bed occ.'!$AA$3:$AH$17,2,FALSE),"")</f>
        <v/>
      </c>
      <c r="R65" s="2"/>
      <c r="Z65" s="169"/>
      <c r="AA65" s="169"/>
      <c r="AB65" s="169"/>
      <c r="AC65" s="169"/>
    </row>
    <row r="66" spans="2:29" x14ac:dyDescent="0.35">
      <c r="B66" s="168"/>
      <c r="C66" s="1" t="s">
        <v>1</v>
      </c>
      <c r="D66" s="154">
        <f>IFERROR(VLOOKUP(D$4,'G&amp;A bed occ.'!$AA$3:$AI$16,3,FALSE),"")</f>
        <v>0.93637481099544217</v>
      </c>
      <c r="E66" s="154">
        <f>IFERROR(VLOOKUP(E$4,'G&amp;A bed occ.'!$AA$3:$AI$16,3,FALSE),"")</f>
        <v>0.94012191531356659</v>
      </c>
      <c r="F66" s="154">
        <f>IFERROR(VLOOKUP(F$4,'G&amp;A bed occ.'!$AA$3:$AI$16,3,FALSE),"")</f>
        <v>0.93142521585941407</v>
      </c>
      <c r="G66" s="154">
        <f>IFERROR(VLOOKUP(G$4,'G&amp;A bed occ.'!$AA$3:$AI$16,3,FALSE),"")</f>
        <v>0.88060113513394134</v>
      </c>
      <c r="H66" s="154">
        <f>IFERROR(VLOOKUP(H$4,'G&amp;A bed occ.'!$AA$3:$AI$16,3,FALSE),"")</f>
        <v>0.8894215725716329</v>
      </c>
      <c r="I66" s="154">
        <f>IFERROR(VLOOKUP(I$4,'G&amp;A bed occ.'!$AA$3:$AI$16,3,FALSE),"")</f>
        <v>0.91413049443011574</v>
      </c>
      <c r="J66" s="154">
        <f>IFERROR(VLOOKUP(J$4,'G&amp;A bed occ.'!$AA$3:$AI$16,3,FALSE),"")</f>
        <v>0.91938436210425989</v>
      </c>
      <c r="K66" s="154">
        <f>IFERROR(VLOOKUP(K$4,'G&amp;A bed occ.'!$AA$3:$AI$16,3,FALSE),"")</f>
        <v>0.91330538702759789</v>
      </c>
      <c r="L66" s="154">
        <f>IFERROR(VLOOKUP(L$4,'G&amp;A bed occ.'!$AA$3:$AI$16,3,FALSE),"")</f>
        <v>0.92058766838712436</v>
      </c>
      <c r="M66" s="154">
        <f>IFERROR(VLOOKUP(M$4,'G&amp;A bed occ.'!$AA$3:$AI$16,3,FALSE),"")</f>
        <v>0.93154974279232738</v>
      </c>
      <c r="N66" s="154">
        <f>IFERROR(VLOOKUP(N$4,'G&amp;A bed occ.'!$AA$3:$AI$16,3,FALSE),"")</f>
        <v>0.92969980838833299</v>
      </c>
      <c r="O66" s="154">
        <f>IFERROR(VLOOKUP(O$4,'G&amp;A bed occ.'!$AA$3:$AI$16,3,FALSE),"")</f>
        <v>0.92135705984582739</v>
      </c>
      <c r="P66" s="154">
        <f>IFERROR(VLOOKUP(P$4,'G&amp;A bed occ.'!$AA$3:$AI$16,3,FALSE),"")</f>
        <v>0.92539732994278445</v>
      </c>
      <c r="Q66" s="82" t="str">
        <f>IFERROR(VLOOKUP(Q$4,'G&amp;A bed occ.'!$AA$3:$AH$17,3,FALSE),"")</f>
        <v/>
      </c>
      <c r="Z66" s="169"/>
      <c r="AA66" s="169"/>
      <c r="AB66" s="169"/>
      <c r="AC66" s="169"/>
    </row>
    <row r="67" spans="2:29" ht="15" customHeight="1" x14ac:dyDescent="0.35">
      <c r="B67" s="168"/>
      <c r="C67" s="1" t="s">
        <v>220</v>
      </c>
      <c r="D67" s="154">
        <f>IFERROR(VLOOKUP(D$4,'G&amp;A bed occ.'!$AA$3:$AI$16,4,FALSE),"")</f>
        <v>0.93630648796109595</v>
      </c>
      <c r="E67" s="154">
        <f>IFERROR(VLOOKUP(E$4,'G&amp;A bed occ.'!$AA$3:$AI$16,4,FALSE),"")</f>
        <v>0.93935029478099152</v>
      </c>
      <c r="F67" s="154">
        <f>IFERROR(VLOOKUP(F$4,'G&amp;A bed occ.'!$AA$3:$AI$16,4,FALSE),"")</f>
        <v>0.92429921384896374</v>
      </c>
      <c r="G67" s="154">
        <f>IFERROR(VLOOKUP(G$4,'G&amp;A bed occ.'!$AA$3:$AI$16,4,FALSE),"")</f>
        <v>0.86353908537959001</v>
      </c>
      <c r="H67" s="154">
        <f>IFERROR(VLOOKUP(H$4,'G&amp;A bed occ.'!$AA$3:$AI$16,4,FALSE),"")</f>
        <v>0.88424398487165046</v>
      </c>
      <c r="I67" s="154">
        <f>IFERROR(VLOOKUP(I$4,'G&amp;A bed occ.'!$AA$3:$AI$16,4,FALSE),"")</f>
        <v>0.91949676616327525</v>
      </c>
      <c r="J67" s="154">
        <f>IFERROR(VLOOKUP(J$4,'G&amp;A bed occ.'!$AA$3:$AI$16,4,FALSE),"")</f>
        <v>0.91966244330468316</v>
      </c>
      <c r="K67" s="154">
        <f>IFERROR(VLOOKUP(K$4,'G&amp;A bed occ.'!$AA$3:$AI$16,4,FALSE),"")</f>
        <v>0.92058922466732906</v>
      </c>
      <c r="L67" s="154">
        <f>IFERROR(VLOOKUP(L$4,'G&amp;A bed occ.'!$AA$3:$AI$16,4,FALSE),"")</f>
        <v>0.92430556643531936</v>
      </c>
      <c r="M67" s="154">
        <f>IFERROR(VLOOKUP(M$4,'G&amp;A bed occ.'!$AA$3:$AI$16,4,FALSE),"")</f>
        <v>0.92868283552990716</v>
      </c>
      <c r="N67" s="154">
        <f>IFERROR(VLOOKUP(N$4,'G&amp;A bed occ.'!$AA$3:$AI$16,4,FALSE),"")</f>
        <v>0.9247195134329057</v>
      </c>
      <c r="O67" s="154">
        <f>IFERROR(VLOOKUP(O$4,'G&amp;A bed occ.'!$AA$3:$AI$16,4,FALSE),"")</f>
        <v>0.92357139517850739</v>
      </c>
      <c r="P67" s="154">
        <f>IFERROR(VLOOKUP(P$4,'G&amp;A bed occ.'!$AA$3:$AI$16,4,FALSE),"")</f>
        <v>0.92486572027721259</v>
      </c>
      <c r="Q67" s="82" t="str">
        <f>IFERROR(VLOOKUP(Q$4,'G&amp;A bed occ.'!$AA$3:$AH$17,4,FALSE),"")</f>
        <v/>
      </c>
      <c r="Z67" s="19"/>
      <c r="AA67" s="15"/>
      <c r="AB67" s="15"/>
      <c r="AC67" s="15"/>
    </row>
    <row r="68" spans="2:29" ht="15" customHeight="1" x14ac:dyDescent="0.35">
      <c r="B68" s="168"/>
      <c r="C68" s="1" t="s">
        <v>248</v>
      </c>
      <c r="D68" s="154">
        <f>IFERROR(VLOOKUP(D$4,'G&amp;A bed occ.'!$AA$3:$AI$16,8,FALSE),"")</f>
        <v>0.92903487997309375</v>
      </c>
      <c r="E68" s="154">
        <f>IFERROR(VLOOKUP(E$4,'G&amp;A bed occ.'!$AA$3:$AI$16,8,FALSE),"")</f>
        <v>0.93298344771901498</v>
      </c>
      <c r="F68" s="154">
        <f>IFERROR(VLOOKUP(F$4,'G&amp;A bed occ.'!$AA$3:$AI$16,8,FALSE),"")</f>
        <v>0.92578689800912028</v>
      </c>
      <c r="G68" s="154">
        <f>IFERROR(VLOOKUP(G$4,'G&amp;A bed occ.'!$AA$3:$AI$16,8,FALSE),"")</f>
        <v>0.86236227103656393</v>
      </c>
      <c r="H68" s="154">
        <f>IFERROR(VLOOKUP(H$4,'G&amp;A bed occ.'!$AA$3:$AI$16,8,FALSE),"")</f>
        <v>0.88803995642146671</v>
      </c>
      <c r="I68" s="154">
        <f>IFERROR(VLOOKUP(I$4,'G&amp;A bed occ.'!$AA$3:$AI$16,8,FALSE),"")</f>
        <v>0.92034891035408251</v>
      </c>
      <c r="J68" s="154">
        <f>IFERROR(VLOOKUP(J$4,'G&amp;A bed occ.'!$AA$3:$AI$16,8,FALSE),"")</f>
        <v>0.9136599198200841</v>
      </c>
      <c r="K68" s="154">
        <f>IFERROR(VLOOKUP(K$4,'G&amp;A bed occ.'!$AA$3:$AI$16,8,FALSE),"")</f>
        <v>0.91291067255989411</v>
      </c>
      <c r="L68" s="154">
        <f>IFERROR(VLOOKUP(L$4,'G&amp;A bed occ.'!$AA$3:$AI$16,8,FALSE),"")</f>
        <v>0.91197886821987117</v>
      </c>
      <c r="M68" s="154">
        <f>IFERROR(VLOOKUP(M$4,'G&amp;A bed occ.'!$AA$3:$AI$16,8,FALSE),"")</f>
        <v>0.92028814850730756</v>
      </c>
      <c r="N68" s="154">
        <f>IFERROR(VLOOKUP(N$4,'G&amp;A bed occ.'!$AA$3:$AI$16,8,FALSE),"")</f>
        <v>0.92566276074129472</v>
      </c>
      <c r="O68" s="154">
        <f>IFERROR(VLOOKUP(O$4,'G&amp;A bed occ.'!$AA$3:$AI$16,8,FALSE),"")</f>
        <v>0.92116685728459025</v>
      </c>
      <c r="P68" s="154">
        <f>IFERROR(VLOOKUP(P$4,'G&amp;A bed occ.'!$AA$3:$AI$16,8,FALSE),"")</f>
        <v>0.9197487596036229</v>
      </c>
      <c r="Q68" s="82"/>
      <c r="Z68" s="171" t="s">
        <v>211</v>
      </c>
      <c r="AA68" s="171"/>
      <c r="AB68" s="171"/>
      <c r="AC68" s="171"/>
    </row>
    <row r="69" spans="2:29" ht="15" customHeight="1" x14ac:dyDescent="0.35">
      <c r="B69" s="168"/>
      <c r="C69" s="1" t="s">
        <v>249</v>
      </c>
      <c r="D69" s="154">
        <f>IFERROR(VLOOKUP(D$4,'G&amp;A bed occ.'!$AA$3:$AI$16,5,FALSE),"")</f>
        <v>0.90980566681501263</v>
      </c>
      <c r="E69" s="154">
        <f>IFERROR(VLOOKUP(E$4,'G&amp;A bed occ.'!$AA$3:$AI$16,5,FALSE),"")</f>
        <v>0.91892496429738979</v>
      </c>
      <c r="F69" s="154">
        <f>IFERROR(VLOOKUP(F$4,'G&amp;A bed occ.'!$AA$3:$AI$16,5,FALSE),"")</f>
        <v>0.9031933207092443</v>
      </c>
      <c r="G69" s="154">
        <f>IFERROR(VLOOKUP(G$4,'G&amp;A bed occ.'!$AA$3:$AI$16,5,FALSE),"")</f>
        <v>0.83174416254361061</v>
      </c>
      <c r="H69" s="154">
        <f>IFERROR(VLOOKUP(H$4,'G&amp;A bed occ.'!$AA$3:$AI$16,5,FALSE),"")</f>
        <v>0.85776147177366013</v>
      </c>
      <c r="I69" s="154">
        <f>IFERROR(VLOOKUP(I$4,'G&amp;A bed occ.'!$AA$3:$AI$16,5,FALSE),"")</f>
        <v>0.90482927422014681</v>
      </c>
      <c r="J69" s="154">
        <f>IFERROR(VLOOKUP(J$4,'G&amp;A bed occ.'!$AA$3:$AI$16,5,FALSE),"")</f>
        <v>0.90698095945036161</v>
      </c>
      <c r="K69" s="154">
        <f>IFERROR(VLOOKUP(K$4,'G&amp;A bed occ.'!$AA$3:$AI$16,5,FALSE),"")</f>
        <v>0.90513721147523962</v>
      </c>
      <c r="L69" s="154">
        <f>IFERROR(VLOOKUP(L$4,'G&amp;A bed occ.'!$AA$3:$AI$16,5,FALSE),"")</f>
        <v>0.91368169747506633</v>
      </c>
      <c r="M69" s="154">
        <f>IFERROR(VLOOKUP(M$4,'G&amp;A bed occ.'!$AA$3:$AI$16,5,FALSE),"")</f>
        <v>0.91331466724100796</v>
      </c>
      <c r="N69" s="154">
        <f>IFERROR(VLOOKUP(N$4,'G&amp;A bed occ.'!$AA$3:$AI$16,5,FALSE),"")</f>
        <v>0.90524122029088328</v>
      </c>
      <c r="O69" s="154">
        <f>IFERROR(VLOOKUP(O$4,'G&amp;A bed occ.'!$AA$3:$AI$16,5,FALSE),"")</f>
        <v>0.90861031054417707</v>
      </c>
      <c r="P69" s="154">
        <f>IFERROR(VLOOKUP(P$4,'G&amp;A bed occ.'!$AA$3:$AI$16,5,FALSE),"")</f>
        <v>0.9126614810577276</v>
      </c>
      <c r="Q69" s="82"/>
      <c r="Z69" s="171"/>
      <c r="AA69" s="171"/>
      <c r="AB69" s="171"/>
      <c r="AC69" s="171"/>
    </row>
    <row r="70" spans="2:29" x14ac:dyDescent="0.35">
      <c r="B70" s="168"/>
      <c r="C70" s="1" t="s">
        <v>251</v>
      </c>
      <c r="D70" s="154">
        <f>IFERROR(VLOOKUP(D$4,'G&amp;A bed occ.'!$AA$3:$AI$16,9,FALSE),"")</f>
        <v>0.91796474635438341</v>
      </c>
      <c r="E70" s="154">
        <f>IFERROR(VLOOKUP(E$4,'G&amp;A bed occ.'!$AA$3:$AI$16,9,FALSE),"")</f>
        <v>0.92555460104098242</v>
      </c>
      <c r="F70" s="154">
        <f>IFERROR(VLOOKUP(F$4,'G&amp;A bed occ.'!$AA$3:$AI$16,9,FALSE),"")</f>
        <v>0.91506142878810859</v>
      </c>
      <c r="G70" s="154">
        <f>IFERROR(VLOOKUP(G$4,'G&amp;A bed occ.'!$AA$3:$AI$16,9,FALSE),"")</f>
        <v>0.85147279847045709</v>
      </c>
      <c r="H70" s="154">
        <f>IFERROR(VLOOKUP(H$4,'G&amp;A bed occ.'!$AA$3:$AI$16,9,FALSE),"")</f>
        <v>0.87331772664927243</v>
      </c>
      <c r="I70" s="154">
        <f>IFERROR(VLOOKUP(I$4,'G&amp;A bed occ.'!$AA$3:$AI$16,9,FALSE),"")</f>
        <v>0.91266878799004614</v>
      </c>
      <c r="J70" s="154">
        <f>IFERROR(VLOOKUP(J$4,'G&amp;A bed occ.'!$AA$3:$AI$16,9,FALSE),"")</f>
        <v>0.91562241490241736</v>
      </c>
      <c r="K70" s="154">
        <f>IFERROR(VLOOKUP(K$4,'G&amp;A bed occ.'!$AA$3:$AI$16,9,FALSE),"")</f>
        <v>0.91730006019363985</v>
      </c>
      <c r="L70" s="154">
        <f>IFERROR(VLOOKUP(L$4,'G&amp;A bed occ.'!$AA$3:$AI$16,9,FALSE),"")</f>
        <v>0.91802744634930977</v>
      </c>
      <c r="M70" s="154">
        <f>IFERROR(VLOOKUP(M$4,'G&amp;A bed occ.'!$AA$3:$AI$16,9,FALSE),"")</f>
        <v>0.92400133864735767</v>
      </c>
      <c r="N70" s="154">
        <f>IFERROR(VLOOKUP(N$4,'G&amp;A bed occ.'!$AA$3:$AI$16,9,FALSE),"")</f>
        <v>0.922164498650486</v>
      </c>
      <c r="O70" s="154">
        <f>IFERROR(VLOOKUP(O$4,'G&amp;A bed occ.'!$AA$3:$AI$16,9,FALSE),"")</f>
        <v>0.92131004189205679</v>
      </c>
      <c r="P70" s="154">
        <f>IFERROR(VLOOKUP(P$4,'G&amp;A bed occ.'!$AA$3:$AI$16,9,FALSE),"")</f>
        <v>0.91624329521303516</v>
      </c>
      <c r="Q70" s="82" t="str">
        <f>IFERROR(VLOOKUP(Q$4,'G&amp;A bed occ.'!$AA$3:$AH$17,5,FALSE),"")</f>
        <v/>
      </c>
      <c r="Z70" s="171"/>
      <c r="AA70" s="171"/>
      <c r="AB70" s="171"/>
      <c r="AC70" s="171"/>
    </row>
    <row r="71" spans="2:29" x14ac:dyDescent="0.35">
      <c r="B71" s="168"/>
      <c r="C71" s="1" t="s">
        <v>217</v>
      </c>
      <c r="D71" s="154">
        <f>IFERROR(VLOOKUP(D$4,'G&amp;A bed occ.'!$AA$3:$AI$16,6,FALSE),"")</f>
        <v>0.93899288104920031</v>
      </c>
      <c r="E71" s="154">
        <f>IFERROR(VLOOKUP(E$4,'G&amp;A bed occ.'!$AA$3:$AI$16,6,FALSE),"")</f>
        <v>0.94417681140550747</v>
      </c>
      <c r="F71" s="154">
        <f>IFERROR(VLOOKUP(F$4,'G&amp;A bed occ.'!$AA$3:$AI$16,6,FALSE),"")</f>
        <v>0.93061237777946582</v>
      </c>
      <c r="G71" s="154">
        <f>IFERROR(VLOOKUP(G$4,'G&amp;A bed occ.'!$AA$3:$AI$16,6,FALSE),"")</f>
        <v>0.87665252071899924</v>
      </c>
      <c r="H71" s="154">
        <f>IFERROR(VLOOKUP(H$4,'G&amp;A bed occ.'!$AA$3:$AI$16,6,FALSE),"")</f>
        <v>0.90134947520408726</v>
      </c>
      <c r="I71" s="154">
        <f>IFERROR(VLOOKUP(I$4,'G&amp;A bed occ.'!$AA$3:$AI$16,6,FALSE),"")</f>
        <v>0.92073826889422716</v>
      </c>
      <c r="J71" s="154">
        <f>IFERROR(VLOOKUP(J$4,'G&amp;A bed occ.'!$AA$3:$AI$16,6,FALSE),"")</f>
        <v>0.92256012850568725</v>
      </c>
      <c r="K71" s="154">
        <f>IFERROR(VLOOKUP(K$4,'G&amp;A bed occ.'!$AA$3:$AI$16,6,FALSE),"")</f>
        <v>0.92688261411605166</v>
      </c>
      <c r="L71" s="154">
        <f>IFERROR(VLOOKUP(L$4,'G&amp;A bed occ.'!$AA$3:$AI$16,6,FALSE),"")</f>
        <v>0.93356783375723795</v>
      </c>
      <c r="M71" s="154">
        <f>IFERROR(VLOOKUP(M$4,'G&amp;A bed occ.'!$AA$3:$AI$16,6,FALSE),"")</f>
        <v>0.93259531266875473</v>
      </c>
      <c r="N71" s="154">
        <f>IFERROR(VLOOKUP(N$4,'G&amp;A bed occ.'!$AA$3:$AI$16,6,FALSE),"")</f>
        <v>0.93145645645645647</v>
      </c>
      <c r="O71" s="154">
        <f>IFERROR(VLOOKUP(O$4,'G&amp;A bed occ.'!$AA$3:$AI$16,6,FALSE),"")</f>
        <v>0.93644974358423017</v>
      </c>
      <c r="P71" s="154">
        <f>IFERROR(VLOOKUP(P$4,'G&amp;A bed occ.'!$AA$3:$AI$16,6,FALSE),"")</f>
        <v>0.93770315936276349</v>
      </c>
      <c r="Q71" s="82" t="str">
        <f>IFERROR(VLOOKUP(Q$4,'G&amp;A bed occ.'!$AA$3:$AH$17,6,FALSE),"")</f>
        <v/>
      </c>
      <c r="Z71" s="171"/>
      <c r="AA71" s="171"/>
      <c r="AB71" s="171"/>
      <c r="AC71" s="171"/>
    </row>
    <row r="72" spans="2:29" x14ac:dyDescent="0.35">
      <c r="B72" s="168"/>
      <c r="C72" s="11" t="s">
        <v>218</v>
      </c>
      <c r="D72" s="154">
        <f>IFERROR(VLOOKUP(D$4,'G&amp;A bed occ.'!$AA$3:$AI$16,7,FALSE),"")</f>
        <v>0.94603967670830269</v>
      </c>
      <c r="E72" s="154">
        <f>IFERROR(VLOOKUP(E$4,'G&amp;A bed occ.'!$AA$3:$AI$16,7,FALSE),"")</f>
        <v>0.94727587116438561</v>
      </c>
      <c r="F72" s="154">
        <f>IFERROR(VLOOKUP(F$4,'G&amp;A bed occ.'!$AA$3:$AI$16,7,FALSE),"")</f>
        <v>0.94577859222368366</v>
      </c>
      <c r="G72" s="154">
        <f>IFERROR(VLOOKUP(G$4,'G&amp;A bed occ.'!$AA$3:$AI$16,7,FALSE),"")</f>
        <v>0.88979480907732034</v>
      </c>
      <c r="H72" s="154">
        <f>IFERROR(VLOOKUP(H$4,'G&amp;A bed occ.'!$AA$3:$AI$16,7,FALSE),"")</f>
        <v>0.91503879713776759</v>
      </c>
      <c r="I72" s="154">
        <f>IFERROR(VLOOKUP(I$4,'G&amp;A bed occ.'!$AA$3:$AI$16,7,FALSE),"")</f>
        <v>0.94224811372496697</v>
      </c>
      <c r="J72" s="154">
        <f>IFERROR(VLOOKUP(J$4,'G&amp;A bed occ.'!$AA$3:$AI$16,7,FALSE),"")</f>
        <v>0.94408952790335732</v>
      </c>
      <c r="K72" s="154">
        <f>IFERROR(VLOOKUP(K$4,'G&amp;A bed occ.'!$AA$3:$AI$16,7,FALSE),"")</f>
        <v>0.94323079648107688</v>
      </c>
      <c r="L72" s="154">
        <f>IFERROR(VLOOKUP(L$4,'G&amp;A bed occ.'!$AA$3:$AI$16,7,FALSE),"")</f>
        <v>0.94434172682984097</v>
      </c>
      <c r="M72" s="154">
        <f>IFERROR(VLOOKUP(M$4,'G&amp;A bed occ.'!$AA$3:$AI$16,7,FALSE),"")</f>
        <v>0.95305307929849092</v>
      </c>
      <c r="N72" s="154">
        <f>IFERROR(VLOOKUP(N$4,'G&amp;A bed occ.'!$AA$3:$AI$16,7,FALSE),"")</f>
        <v>0.94694391751980189</v>
      </c>
      <c r="O72" s="154">
        <f>IFERROR(VLOOKUP(O$4,'G&amp;A bed occ.'!$AA$3:$AI$16,7,FALSE),"")</f>
        <v>0.95185805929607581</v>
      </c>
      <c r="P72" s="154">
        <f>IFERROR(VLOOKUP(P$4,'G&amp;A bed occ.'!$AA$3:$AI$16,7,FALSE),"")</f>
        <v>0.94158955836007541</v>
      </c>
      <c r="Q72" s="82" t="str">
        <f>IFERROR(VLOOKUP(Q$4,'G&amp;A bed occ.'!$AA$3:$AH$17,7,FALSE),"")</f>
        <v/>
      </c>
      <c r="Z72" s="171"/>
      <c r="AA72" s="171"/>
      <c r="AB72" s="171"/>
      <c r="AC72" s="171"/>
    </row>
    <row r="73" spans="2:29" ht="7.5" customHeight="1" x14ac:dyDescent="0.35">
      <c r="B73" s="168"/>
      <c r="C73" s="8"/>
      <c r="Q73" s="83"/>
      <c r="Z73" s="171"/>
      <c r="AA73" s="171"/>
      <c r="AB73" s="171"/>
      <c r="AC73" s="171"/>
    </row>
    <row r="74" spans="2:29" ht="15" customHeight="1" x14ac:dyDescent="0.35">
      <c r="B74" s="168"/>
      <c r="C74" s="9" t="s">
        <v>6</v>
      </c>
      <c r="D74" s="62">
        <f>IF(ISBLANK(HLOOKUP(D4, 'G&amp;A bed occ.'!AM149:AZ150,2,FALSE)),"",HLOOKUP(D4,'G&amp;A bed occ.'!AM149:AZ150,2,FALSE))</f>
        <v>125</v>
      </c>
      <c r="E74" s="62">
        <f>IF(ISBLANK(HLOOKUP(E4, 'G&amp;A bed occ.'!AN149:BA150,2,FALSE)),"",HLOOKUP(E4,'G&amp;A bed occ.'!AN149:BA150,2,FALSE))</f>
        <v>125</v>
      </c>
      <c r="F74" s="62">
        <f>IF(ISBLANK(HLOOKUP(F4, 'G&amp;A bed occ.'!AO149:BB150,2,FALSE))," ",HLOOKUP(F4,'G&amp;A bed occ.'!AO149:BB150,2,FALSE))</f>
        <v>122</v>
      </c>
      <c r="G74" s="62">
        <f>IF(ISBLANK(HLOOKUP(G4, 'G&amp;A bed occ.'!AP149:BC150,2,FALSE)),"",HLOOKUP(G4,'G&amp;A bed occ.'!AP149:BC150,2,FALSE))</f>
        <v>119</v>
      </c>
      <c r="H74" s="62">
        <f>IF(ISBLANK(HLOOKUP(H4, 'G&amp;A bed occ.'!AQ149:BD150,2,FALSE)),"",HLOOKUP(H4,'G&amp;A bed occ.'!AQ149:BD150,2,FALSE))</f>
        <v>117</v>
      </c>
      <c r="I74" s="62">
        <f>IF(ISBLANK(HLOOKUP(I4,'G&amp;A bed occ.'!AR149:BE150,2,FALSE)),"",HLOOKUP(I4,'G&amp;A bed occ.'!AR149:BE150,2,FALSE))</f>
        <v>120</v>
      </c>
      <c r="J74" s="62">
        <f>IF(ISBLANK(HLOOKUP(J4, 'G&amp;A bed occ.'!AS149:BF150,2,FALSE)),"",HLOOKUP(J4,'G&amp;A bed occ.'!AS149:BF150,2,FALSE))</f>
        <v>122</v>
      </c>
      <c r="K74" s="62">
        <f>IF(ISBLANK(HLOOKUP(K4, 'G&amp;A bed occ.'!AT149:BG150,2,FALSE)),"",HLOOKUP(K4,'G&amp;A bed occ.'!AT149:BG150,2,FALSE))</f>
        <v>123</v>
      </c>
      <c r="L74" s="62">
        <f>IF(ISBLANK(HLOOKUP(L4, 'G&amp;A bed occ.'!AU149:BH150,2,FALSE)),"",HLOOKUP(L4,'G&amp;A bed occ.'!AU149:BH150,2,FALSE))</f>
        <v>100</v>
      </c>
      <c r="M74" s="62">
        <f>IF(ISBLANK(HLOOKUP(M4, 'G&amp;A bed occ.'!AV149:BI150,2,FALSE)),"",HLOOKUP(M4,'G&amp;A bed occ.'!AV149:BI150,2,FALSE))</f>
        <v>123</v>
      </c>
      <c r="N74" s="62">
        <f>IF(ISBLANK(HLOOKUP(N4, 'G&amp;A bed occ.'!AW149:BJ150,2,FALSE)),"",HLOOKUP(N4,'G&amp;A bed occ.'!AW149:BJ150,2,FALSE))</f>
        <v>123</v>
      </c>
      <c r="O74" s="62">
        <f>IF(ISBLANK(HLOOKUP(O4, 'G&amp;A bed occ.'!AX149:BK150,2,FALSE)),"",HLOOKUP(O4,'G&amp;A bed occ.'!AX149:BK150,2,FALSE))</f>
        <v>123</v>
      </c>
      <c r="P74" s="62">
        <f>IF(ISBLANK(HLOOKUP(P4, 'G&amp;A bed occ.'!AY149:BL150,2,FALSE)),"",HLOOKUP(P4,'G&amp;A bed occ.'!AY149:BL150,2,FALSE))</f>
        <v>124</v>
      </c>
      <c r="Q74" s="84"/>
      <c r="Z74" s="171"/>
      <c r="AA74" s="171"/>
      <c r="AB74" s="171"/>
      <c r="AC74" s="171"/>
    </row>
    <row r="75" spans="2:29" ht="7.5" customHeight="1" x14ac:dyDescent="0.35">
      <c r="B75" s="168"/>
      <c r="C75" s="9"/>
      <c r="Q75" s="83"/>
      <c r="Z75" s="171"/>
      <c r="AA75" s="171"/>
      <c r="AB75" s="171"/>
      <c r="AC75" s="171"/>
    </row>
    <row r="76" spans="2:29" x14ac:dyDescent="0.35">
      <c r="B76" s="168"/>
      <c r="C76" s="9" t="s">
        <v>7</v>
      </c>
      <c r="D76" s="62">
        <f>IF(ISBLANK(HLOOKUP(D4,'G&amp;A bed occ.'!AM290:AZ291,2,FALSE)),"",HLOOKUP(D4,'G&amp;A bed occ.'!AM290:AZ291,2,FALSE))</f>
        <v>70</v>
      </c>
      <c r="E76" s="62">
        <f>IF(ISBLANK(HLOOKUP(E4,'G&amp;A bed occ.'!AN290:BA291,2,FALSE)),"",HLOOKUP(E4,'G&amp;A bed occ.'!AN290:BA291,2,FALSE))</f>
        <v>77</v>
      </c>
      <c r="F76" s="62">
        <f>IF(ISBLANK(HLOOKUP(F4,'G&amp;A bed occ.'!AO290:BB291,2,FALSE)),"",HLOOKUP(F4,'G&amp;A bed occ.'!AO290:BB291,2,FALSE))</f>
        <v>72</v>
      </c>
      <c r="G76" s="62">
        <f>IF(ISBLANK(HLOOKUP(G4,'G&amp;A bed occ.'!AP290:BC291,2,FALSE)),"",HLOOKUP(G4,'G&amp;A bed occ.'!AP290:BC291,2,FALSE))</f>
        <v>46</v>
      </c>
      <c r="H76" s="62">
        <f>IF(ISBLANK(HLOOKUP(H4,'G&amp;A bed occ.'!AQ290:BD291,2,FALSE)),"",HLOOKUP(H4,'G&amp;A bed occ.'!AQ290:BD291,2,FALSE))</f>
        <v>46</v>
      </c>
      <c r="I76" s="62">
        <f>IF(ISBLANK(HLOOKUP(I4,'G&amp;A bed occ.'!AR290:BE291,2,FALSE)),"",HLOOKUP(I4,'G&amp;A bed occ.'!AR290:BE291,2,FALSE))</f>
        <v>66</v>
      </c>
      <c r="J76" s="62">
        <f>IF(ISBLANK(HLOOKUP(J4,'G&amp;A bed occ.'!AS290:BF291,2,FALSE)),"",HLOOKUP(J4,'G&amp;A bed occ.'!AS290:BF291,2,FALSE))</f>
        <v>68</v>
      </c>
      <c r="K76" s="62">
        <f>IF(ISBLANK(HLOOKUP(K4,'G&amp;A bed occ.'!AT290:BG291,2,FALSE)),"",HLOOKUP(K4,'G&amp;A bed occ.'!AT290:BG291,2,FALSE))</f>
        <v>64</v>
      </c>
      <c r="L76" s="62">
        <f>IF(ISBLANK(HLOOKUP(L4,'G&amp;A bed occ.'!AU290:BH291,2,FALSE)),"",HLOOKUP(L4,'G&amp;A bed occ.'!AU290:BH291,2,FALSE))</f>
        <v>73</v>
      </c>
      <c r="M76" s="62">
        <f>IF(ISBLANK(HLOOKUP(M4,'G&amp;A bed occ.'!AV290:BI291,2,FALSE)),"",HLOOKUP(M4,'G&amp;A bed occ.'!AV290:BI291,2,FALSE))</f>
        <v>77</v>
      </c>
      <c r="N76" s="62">
        <f>IF(ISBLANK(HLOOKUP(N4,'G&amp;A bed occ.'!AW290:BJ291,2,FALSE)),"",HLOOKUP(N4,'G&amp;A bed occ.'!AW290:BJ291,2,FALSE))</f>
        <v>72</v>
      </c>
      <c r="O76" s="62">
        <f>IF(ISBLANK(HLOOKUP(O4,'G&amp;A bed occ.'!AX290:BK291,2,FALSE)),"",HLOOKUP(O4,'G&amp;A bed occ.'!AX290:BK291,2,FALSE))</f>
        <v>76</v>
      </c>
      <c r="P76" s="62">
        <f>IF(ISBLANK(HLOOKUP(P4,'G&amp;A bed occ.'!AY290:BL291,2,FALSE)),"",HLOOKUP(P4,'G&amp;A bed occ.'!AY290:BL291,2,FALSE))</f>
        <v>70</v>
      </c>
      <c r="Q76" s="84"/>
      <c r="Z76" s="171"/>
      <c r="AA76" s="171"/>
      <c r="AB76" s="171"/>
      <c r="AC76" s="171"/>
    </row>
    <row r="77" spans="2:29" ht="7.5" customHeight="1" x14ac:dyDescent="0.35">
      <c r="B77" s="168"/>
      <c r="C77" s="9"/>
      <c r="Q77" s="83"/>
      <c r="Z77" s="171"/>
      <c r="AA77" s="171"/>
      <c r="AB77" s="171"/>
      <c r="AC77" s="171"/>
    </row>
    <row r="78" spans="2:29" ht="15" customHeight="1" x14ac:dyDescent="0.35">
      <c r="B78" s="168"/>
      <c r="C78" s="9" t="s">
        <v>5</v>
      </c>
      <c r="D78" s="62">
        <f>IF(ISBLANK(HLOOKUP(D4,'G&amp;A bed occ.'!AM431:AZ432,2,FALSE)),"",HLOOKUP(D4,'G&amp;A bed occ.'!AM431:AZ432,2,FALSE))</f>
        <v>4</v>
      </c>
      <c r="E78" s="62">
        <f>IF(ISBLANK(HLOOKUP(E4,'G&amp;A bed occ.'!AN431:BA432,2,FALSE)),"",HLOOKUP(E4,'G&amp;A bed occ.'!AN431:BA432,2,FALSE))</f>
        <v>7</v>
      </c>
      <c r="F78" s="62">
        <f>IF(ISBLANK(HLOOKUP(F4,'G&amp;A bed occ.'!AO431:BB432,2,FALSE)),"",HLOOKUP(F4,'G&amp;A bed occ.'!AO431:BB432,2,FALSE))</f>
        <v>2</v>
      </c>
      <c r="G78" s="62">
        <f>IF(ISBLANK(HLOOKUP(G4,'G&amp;A bed occ.'!AP431:BC432,2,FALSE)),"",HLOOKUP(G4,'G&amp;A bed occ.'!AP431:BC432,2,FALSE))</f>
        <v>2</v>
      </c>
      <c r="H78" s="62">
        <f>IF(ISBLANK(HLOOKUP(H4,'G&amp;A bed occ.'!AQ431:BD432,2,FALSE)),"",HLOOKUP(H4,'G&amp;A bed occ.'!AQ431:BD432,2,FALSE))</f>
        <v>2</v>
      </c>
      <c r="I78" s="62">
        <f>IF(ISBLANK(HLOOKUP(I4,'G&amp;A bed occ.'!AR431:BE432,2,FALSE)),"",HLOOKUP(I4,'G&amp;A bed occ.'!AR431:BE432,2,FALSE))</f>
        <v>4</v>
      </c>
      <c r="J78" s="62">
        <f>IF(ISBLANK(HLOOKUP(J4,'G&amp;A bed occ.'!AS431:BF432,2,FALSE)),"",HLOOKUP(J4,'G&amp;A bed occ.'!AS431:BF432,2,FALSE))</f>
        <v>3</v>
      </c>
      <c r="K78" s="62">
        <f>IF(ISBLANK(HLOOKUP(K4,'G&amp;A bed occ.'!AT431:BG432,2,FALSE)),"",HLOOKUP(K4,'G&amp;A bed occ.'!AT431:BG432,2,FALSE))</f>
        <v>2</v>
      </c>
      <c r="L78" s="62">
        <f>IF(ISBLANK(HLOOKUP(L4,'G&amp;A bed occ.'!AU431:BH432,2,FALSE)),"",HLOOKUP(L4,'G&amp;A bed occ.'!AU431:BH432,2,FALSE))</f>
        <v>2</v>
      </c>
      <c r="M78" s="62">
        <f>IF(ISBLANK(HLOOKUP(M4,'G&amp;A bed occ.'!AV431:BI432,2,FALSE)),"",HLOOKUP(M4,'G&amp;A bed occ.'!AV431:BI432,2,FALSE))</f>
        <v>6</v>
      </c>
      <c r="N78" s="62">
        <f>IF(ISBLANK(HLOOKUP(N4,'G&amp;A bed occ.'!AW431:BJ432,2,FALSE)),"",HLOOKUP(N4,'G&amp;A bed occ.'!AW431:BJ432,2,FALSE))</f>
        <v>2</v>
      </c>
      <c r="O78" s="62">
        <f>IF(ISBLANK(HLOOKUP(O4,'G&amp;A bed occ.'!AX431:BK432,2,FALSE)),"",HLOOKUP(O4,'G&amp;A bed occ.'!AX431:BK432,2,FALSE))</f>
        <v>5</v>
      </c>
      <c r="P78" s="62">
        <f>IF(ISBLANK(HLOOKUP(P4,'G&amp;A bed occ.'!AY431:BL432,2,FALSE)),"",HLOOKUP(P4,'G&amp;A bed occ.'!AY431:BL432,2,FALSE))</f>
        <v>2</v>
      </c>
      <c r="Q78" s="84"/>
      <c r="Z78" s="171"/>
      <c r="AA78" s="171"/>
      <c r="AB78" s="171"/>
      <c r="AC78" s="171"/>
    </row>
    <row r="79" spans="2:29" ht="30" customHeight="1" x14ac:dyDescent="0.35">
      <c r="C79" s="1"/>
    </row>
    <row r="80" spans="2:29" ht="15" customHeight="1" x14ac:dyDescent="0.35">
      <c r="B80" s="168" t="s">
        <v>8</v>
      </c>
      <c r="C80" s="39" t="s">
        <v>9</v>
      </c>
      <c r="D80" s="119">
        <v>42353.857142857145</v>
      </c>
      <c r="E80" s="119">
        <v>42015</v>
      </c>
      <c r="F80" s="119">
        <v>41386.571428571428</v>
      </c>
      <c r="G80" s="119">
        <v>40775.571428571428</v>
      </c>
      <c r="H80" s="119">
        <v>44293.857142857145</v>
      </c>
      <c r="I80" s="119">
        <v>44755.714285714283</v>
      </c>
      <c r="J80" s="119">
        <v>44463.285714285717</v>
      </c>
      <c r="K80" s="119">
        <v>44319</v>
      </c>
      <c r="L80" s="119">
        <v>43811.857142857145</v>
      </c>
      <c r="M80" s="119">
        <v>43662.714285714283</v>
      </c>
      <c r="N80" s="119">
        <v>43538</v>
      </c>
      <c r="O80" s="119">
        <v>43416.714285714283</v>
      </c>
      <c r="P80" s="119">
        <v>43146.571428571428</v>
      </c>
      <c r="Z80" s="169" t="s">
        <v>245</v>
      </c>
      <c r="AA80" s="169"/>
      <c r="AB80" s="169"/>
      <c r="AC80" s="169"/>
    </row>
    <row r="81" spans="2:29" x14ac:dyDescent="0.35">
      <c r="B81" s="168"/>
      <c r="C81" s="1" t="s">
        <v>283</v>
      </c>
      <c r="D81" s="128">
        <v>34728.142857142855</v>
      </c>
      <c r="E81" s="128">
        <v>35472.714285714283</v>
      </c>
      <c r="F81" s="128">
        <v>36472.571428571428</v>
      </c>
      <c r="G81" s="128">
        <v>34907.428571428572</v>
      </c>
      <c r="H81" s="128">
        <v>36063.571428571428</v>
      </c>
      <c r="I81" s="128">
        <v>37844.285714285717</v>
      </c>
      <c r="J81" s="128">
        <v>37004.428571428572</v>
      </c>
      <c r="K81" s="128">
        <v>36503.571428571428</v>
      </c>
      <c r="L81" s="128">
        <v>36763.285714285717</v>
      </c>
      <c r="M81" s="128">
        <v>36596.714285714283</v>
      </c>
      <c r="N81" s="128">
        <v>35704.857142857145</v>
      </c>
      <c r="O81" s="128">
        <v>34989.285714285717</v>
      </c>
      <c r="P81" s="128">
        <v>35430.285714285717</v>
      </c>
      <c r="Z81" s="169"/>
      <c r="AA81" s="169"/>
      <c r="AB81" s="169"/>
      <c r="AC81" s="169"/>
    </row>
    <row r="82" spans="2:29" ht="7.5" customHeight="1" x14ac:dyDescent="0.35">
      <c r="B82" s="168"/>
      <c r="C82" s="39"/>
      <c r="Z82" s="169"/>
      <c r="AA82" s="169"/>
      <c r="AB82" s="169"/>
      <c r="AC82" s="169"/>
    </row>
    <row r="83" spans="2:29" x14ac:dyDescent="0.35">
      <c r="B83" s="168"/>
      <c r="C83" s="16" t="s">
        <v>295</v>
      </c>
      <c r="D83" s="133">
        <f>IFERROR(VLOOKUP(D$4,'Long stay'!$L$4:$T$17,2,FALSE),"")</f>
        <v>41750.285714285717</v>
      </c>
      <c r="E83" s="105">
        <f>IFERROR(VLOOKUP(E$4,'Long stay'!$L$4:$T$17,2,FALSE),"")</f>
        <v>42546.142857142855</v>
      </c>
      <c r="F83" s="105">
        <f>IFERROR(VLOOKUP(F$4,'Long stay'!$L$4:$T$17,2,FALSE),"")</f>
        <v>42989.571428571428</v>
      </c>
      <c r="G83" s="105">
        <f>IFERROR(VLOOKUP(G$4,'Long stay'!$L$4:$T$17,2,FALSE),"")</f>
        <v>39477.714285714283</v>
      </c>
      <c r="H83" s="105">
        <f>IFERROR(VLOOKUP(H$4,'Long stay'!$L$4:$T$17,2,FALSE),"")</f>
        <v>40488.857142857145</v>
      </c>
      <c r="I83" s="105">
        <f>IFERROR(VLOOKUP(I$4,'Long stay'!$L$4:$T$17,2,FALSE),"")</f>
        <v>44930.142857142855</v>
      </c>
      <c r="J83" s="105">
        <f>IFERROR(VLOOKUP(J$4,'Long stay'!$L$4:$T$17,2,FALSE),"")</f>
        <v>44581.142857142855</v>
      </c>
      <c r="K83" s="105">
        <f>IFERROR(VLOOKUP(K$4,'Long stay'!$L$4:$T$17,2,FALSE),"")</f>
        <v>44285.714285714283</v>
      </c>
      <c r="L83" s="105">
        <f>IFERROR(VLOOKUP(L$4,'Long stay'!$L$4:$T$17,2,FALSE),"")</f>
        <v>44077.285714285717</v>
      </c>
      <c r="M83" s="105">
        <f>IFERROR(VLOOKUP(M$4,'Long stay'!$L$4:$T$17,2,FALSE),"")</f>
        <v>44295.142857142855</v>
      </c>
      <c r="N83" s="105">
        <f>IFERROR(VLOOKUP(N$4,'Long stay'!$L$4:$T$17,2,FALSE),"")</f>
        <v>44003.428571428572</v>
      </c>
      <c r="O83" s="105">
        <f>IFERROR(VLOOKUP(O$4,'Long stay'!$L$4:$T$17,2,FALSE),"")</f>
        <v>43949.571428571428</v>
      </c>
      <c r="P83" s="105">
        <f>IFERROR(VLOOKUP(P$4,'Long stay'!$L$4:$T$17,2,FALSE),"")</f>
        <v>44372.285714285717</v>
      </c>
      <c r="Q83" s="78" t="str">
        <f>IFERROR(VLOOKUP(Q$4,'Long stay'!$L$4:$S$18,2,FALSE),"")</f>
        <v/>
      </c>
      <c r="Z83" s="169"/>
      <c r="AA83" s="169"/>
      <c r="AB83" s="169"/>
      <c r="AC83" s="169"/>
    </row>
    <row r="84" spans="2:29" x14ac:dyDescent="0.35">
      <c r="B84" s="168"/>
      <c r="C84" s="1" t="s">
        <v>1</v>
      </c>
      <c r="D84" s="153">
        <f>IFERROR(VLOOKUP(D$4,'Long stay'!$L$4:$T$17,3,FALSE),"")</f>
        <v>5933.2857142857147</v>
      </c>
      <c r="E84" s="153">
        <f>IFERROR(VLOOKUP(E$4,'Long stay'!$L$4:$T$17,3,FALSE),"")</f>
        <v>6031.4285714285716</v>
      </c>
      <c r="F84" s="153">
        <f>IFERROR(VLOOKUP(F$4,'Long stay'!$L$4:$T$17,3,FALSE),"")</f>
        <v>6222.1428571428569</v>
      </c>
      <c r="G84" s="153">
        <f>IFERROR(VLOOKUP(G$4,'Long stay'!$L$4:$T$17,3,FALSE),"")</f>
        <v>5897.8571428571431</v>
      </c>
      <c r="H84" s="153">
        <f>IFERROR(VLOOKUP(H$4,'Long stay'!$L$4:$T$17,3,FALSE),"")</f>
        <v>5950.7142857142853</v>
      </c>
      <c r="I84" s="153">
        <f>IFERROR(VLOOKUP(I$4,'Long stay'!$L$4:$T$17,3,FALSE),"")</f>
        <v>6367.7142857142853</v>
      </c>
      <c r="J84" s="153">
        <f>IFERROR(VLOOKUP(J$4,'Long stay'!$L$4:$T$17,3,FALSE),"")</f>
        <v>6332.5714285714284</v>
      </c>
      <c r="K84" s="153">
        <f>IFERROR(VLOOKUP(K$4,'Long stay'!$L$4:$T$17,3,FALSE),"")</f>
        <v>6265.8571428571431</v>
      </c>
      <c r="L84" s="153">
        <f>IFERROR(VLOOKUP(L$4,'Long stay'!$L$4:$T$17,3,FALSE),"")</f>
        <v>6229.2857142857147</v>
      </c>
      <c r="M84" s="153">
        <f>IFERROR(VLOOKUP(M$4,'Long stay'!$L$4:$T$17,3,FALSE),"")</f>
        <v>6388.5714285714284</v>
      </c>
      <c r="N84" s="153">
        <f>IFERROR(VLOOKUP(N$4,'Long stay'!$L$4:$T$17,3,FALSE),"")</f>
        <v>6409.8571428571431</v>
      </c>
      <c r="O84" s="153">
        <f>IFERROR(VLOOKUP(O$4,'Long stay'!$L$4:$T$17,3,FALSE),"")</f>
        <v>6385.7142857142853</v>
      </c>
      <c r="P84" s="153">
        <f>IFERROR(VLOOKUP(P$4,'Long stay'!$L$4:$T$17,3,FALSE),"")</f>
        <v>6370.1428571428569</v>
      </c>
      <c r="Q84" s="79" t="str">
        <f>IFERROR(VLOOKUP(Q$4,'Long stay'!$L$4:$S$18,3,FALSE),"")</f>
        <v/>
      </c>
      <c r="Z84" s="169"/>
      <c r="AA84" s="169"/>
      <c r="AB84" s="169"/>
      <c r="AC84" s="169"/>
    </row>
    <row r="85" spans="2:29" ht="15" customHeight="1" x14ac:dyDescent="0.35">
      <c r="B85" s="168"/>
      <c r="C85" s="1" t="s">
        <v>220</v>
      </c>
      <c r="D85" s="153">
        <f>IFERROR(VLOOKUP(D$4,'Long stay'!$L$4:$T$17,4,FALSE),"")</f>
        <v>7358.5714285714284</v>
      </c>
      <c r="E85" s="153">
        <f>IFERROR(VLOOKUP(E$4,'Long stay'!$L$4:$T$17,4,FALSE),"")</f>
        <v>7428.5714285714284</v>
      </c>
      <c r="F85" s="153">
        <f>IFERROR(VLOOKUP(F$4,'Long stay'!$L$4:$T$17,4,FALSE),"")</f>
        <v>7456.5714285714284</v>
      </c>
      <c r="G85" s="153">
        <f>IFERROR(VLOOKUP(G$4,'Long stay'!$L$4:$T$17,4,FALSE),"")</f>
        <v>6793.2857142857147</v>
      </c>
      <c r="H85" s="153">
        <f>IFERROR(VLOOKUP(H$4,'Long stay'!$L$4:$T$17,4,FALSE),"")</f>
        <v>7024</v>
      </c>
      <c r="I85" s="153">
        <f>IFERROR(VLOOKUP(I$4,'Long stay'!$L$4:$T$17,4,FALSE),"")</f>
        <v>7871.7142857142853</v>
      </c>
      <c r="J85" s="153">
        <f>IFERROR(VLOOKUP(J$4,'Long stay'!$L$4:$T$17,4,FALSE),"")</f>
        <v>7842.2857142857147</v>
      </c>
      <c r="K85" s="153">
        <f>IFERROR(VLOOKUP(K$4,'Long stay'!$L$4:$T$17,4,FALSE),"")</f>
        <v>7811.4285714285716</v>
      </c>
      <c r="L85" s="153">
        <f>IFERROR(VLOOKUP(L$4,'Long stay'!$L$4:$T$17,4,FALSE),"")</f>
        <v>7667.7142857142853</v>
      </c>
      <c r="M85" s="153">
        <f>IFERROR(VLOOKUP(M$4,'Long stay'!$L$4:$T$17,4,FALSE),"")</f>
        <v>7583.1428571428569</v>
      </c>
      <c r="N85" s="153">
        <f>IFERROR(VLOOKUP(N$4,'Long stay'!$L$4:$T$17,4,FALSE),"")</f>
        <v>7564.4285714285716</v>
      </c>
      <c r="O85" s="153">
        <f>IFERROR(VLOOKUP(O$4,'Long stay'!$L$4:$T$17,4,FALSE),"")</f>
        <v>7493.1428571428569</v>
      </c>
      <c r="P85" s="153">
        <f>IFERROR(VLOOKUP(P$4,'Long stay'!$L$4:$T$17,4,FALSE),"")</f>
        <v>7544</v>
      </c>
      <c r="Q85" s="79" t="str">
        <f>IFERROR(VLOOKUP(Q$4,'Long stay'!$L$4:$S$18,4,FALSE),"")</f>
        <v/>
      </c>
      <c r="Z85" s="171" t="s">
        <v>244</v>
      </c>
      <c r="AA85" s="171"/>
      <c r="AB85" s="171"/>
      <c r="AC85" s="171"/>
    </row>
    <row r="86" spans="2:29" ht="15" customHeight="1" x14ac:dyDescent="0.35">
      <c r="B86" s="168"/>
      <c r="C86" s="1" t="s">
        <v>248</v>
      </c>
      <c r="D86" s="153">
        <f>IFERROR(VLOOKUP(D$4,'Long stay'!$L$4:$T$17,8,FALSE),"")</f>
        <v>4367.2857142857147</v>
      </c>
      <c r="E86" s="153">
        <f>IFERROR(VLOOKUP(E$4,'Long stay'!$L$4:$T$17,8,FALSE),"")</f>
        <v>4417.8571428571431</v>
      </c>
      <c r="F86" s="153">
        <f>IFERROR(VLOOKUP(F$4,'Long stay'!$L$4:$T$17,8,FALSE),"")</f>
        <v>4467</v>
      </c>
      <c r="G86" s="153">
        <f>IFERROR(VLOOKUP(G$4,'Long stay'!$L$4:$T$17,8,FALSE),"")</f>
        <v>4159.7142857142853</v>
      </c>
      <c r="H86" s="153">
        <f>IFERROR(VLOOKUP(H$4,'Long stay'!$L$4:$T$17,8,FALSE),"")</f>
        <v>4224</v>
      </c>
      <c r="I86" s="153">
        <f>IFERROR(VLOOKUP(I$4,'Long stay'!$L$4:$T$17,8,FALSE),"")</f>
        <v>4626.8571428571431</v>
      </c>
      <c r="J86" s="153">
        <f>IFERROR(VLOOKUP(J$4,'Long stay'!$L$4:$T$17,8,FALSE),"")</f>
        <v>4565.1428571428569</v>
      </c>
      <c r="K86" s="153">
        <f>IFERROR(VLOOKUP(K$4,'Long stay'!$L$4:$T$17,8,FALSE),"")</f>
        <v>4505.4285714285716</v>
      </c>
      <c r="L86" s="153">
        <f>IFERROR(VLOOKUP(L$4,'Long stay'!$L$4:$T$17,8,FALSE),"")</f>
        <v>4478.5714285714284</v>
      </c>
      <c r="M86" s="153">
        <f>IFERROR(VLOOKUP(M$4,'Long stay'!$L$4:$T$17,8,FALSE),"")</f>
        <v>4491.4285714285716</v>
      </c>
      <c r="N86" s="153">
        <f>IFERROR(VLOOKUP(N$4,'Long stay'!$L$4:$T$17,8,FALSE),"")</f>
        <v>4538.4285714285716</v>
      </c>
      <c r="O86" s="153">
        <f>IFERROR(VLOOKUP(O$4,'Long stay'!$L$4:$T$17,8,FALSE),"")</f>
        <v>4557</v>
      </c>
      <c r="P86" s="153">
        <f>IFERROR(VLOOKUP(P$4,'Long stay'!$L$4:$T$17,8,FALSE),"")</f>
        <v>4593</v>
      </c>
      <c r="Q86" s="79"/>
      <c r="Z86" s="171"/>
      <c r="AA86" s="171"/>
      <c r="AB86" s="171"/>
      <c r="AC86" s="171"/>
    </row>
    <row r="87" spans="2:29" ht="15" customHeight="1" x14ac:dyDescent="0.35">
      <c r="B87" s="168"/>
      <c r="C87" s="1" t="s">
        <v>249</v>
      </c>
      <c r="D87" s="153">
        <f>IFERROR(VLOOKUP(D$4,'Long stay'!$L$4:$T$17,5,FALSE),"")</f>
        <v>7141.2857142857147</v>
      </c>
      <c r="E87" s="153">
        <f>IFERROR(VLOOKUP(E$4,'Long stay'!$L$4:$T$17,5,FALSE),"")</f>
        <v>7298.5714285714284</v>
      </c>
      <c r="F87" s="153">
        <f>IFERROR(VLOOKUP(F$4,'Long stay'!$L$4:$T$17,5,FALSE),"")</f>
        <v>7344</v>
      </c>
      <c r="G87" s="153">
        <f>IFERROR(VLOOKUP(G$4,'Long stay'!$L$4:$T$17,5,FALSE),"")</f>
        <v>6678.7142857142853</v>
      </c>
      <c r="H87" s="153">
        <f>IFERROR(VLOOKUP(H$4,'Long stay'!$L$4:$T$17,5,FALSE),"")</f>
        <v>6741.5714285714284</v>
      </c>
      <c r="I87" s="153">
        <f>IFERROR(VLOOKUP(I$4,'Long stay'!$L$4:$T$17,5,FALSE),"")</f>
        <v>7723.2857142857147</v>
      </c>
      <c r="J87" s="153">
        <f>IFERROR(VLOOKUP(J$4,'Long stay'!$L$4:$T$17,5,FALSE),"")</f>
        <v>7738.1428571428569</v>
      </c>
      <c r="K87" s="153">
        <f>IFERROR(VLOOKUP(K$4,'Long stay'!$L$4:$T$17,5,FALSE),"")</f>
        <v>7730.4285714285716</v>
      </c>
      <c r="L87" s="153">
        <f>IFERROR(VLOOKUP(L$4,'Long stay'!$L$4:$T$17,5,FALSE),"")</f>
        <v>7654.7142857142853</v>
      </c>
      <c r="M87" s="153">
        <f>IFERROR(VLOOKUP(M$4,'Long stay'!$L$4:$T$17,5,FALSE),"")</f>
        <v>7533.7142857142853</v>
      </c>
      <c r="N87" s="153">
        <f>IFERROR(VLOOKUP(N$4,'Long stay'!$L$4:$T$17,5,FALSE),"")</f>
        <v>7301.4285714285716</v>
      </c>
      <c r="O87" s="153">
        <f>IFERROR(VLOOKUP(O$4,'Long stay'!$L$4:$T$17,5,FALSE),"")</f>
        <v>7491.1428571428569</v>
      </c>
      <c r="P87" s="153">
        <f>IFERROR(VLOOKUP(P$4,'Long stay'!$L$4:$T$17,5,FALSE),"")</f>
        <v>7665.1428571428569</v>
      </c>
      <c r="Q87" s="79"/>
      <c r="Z87" s="171"/>
      <c r="AA87" s="171"/>
      <c r="AB87" s="171"/>
      <c r="AC87" s="171"/>
    </row>
    <row r="88" spans="2:29" x14ac:dyDescent="0.35">
      <c r="B88" s="168"/>
      <c r="C88" s="1" t="s">
        <v>251</v>
      </c>
      <c r="D88" s="153">
        <f>IFERROR(VLOOKUP(D$4,'Long stay'!$L$4:$T$17,9,FALSE),"")</f>
        <v>6389.1428571428569</v>
      </c>
      <c r="E88" s="153">
        <f>IFERROR(VLOOKUP(E$4,'Long stay'!$L$4:$T$17,9,FALSE),"")</f>
        <v>6536.5714285714284</v>
      </c>
      <c r="F88" s="153">
        <f>IFERROR(VLOOKUP(F$4,'Long stay'!$L$4:$T$17,9,FALSE),"")</f>
        <v>6583.8571428571431</v>
      </c>
      <c r="G88" s="153">
        <f>IFERROR(VLOOKUP(G$4,'Long stay'!$L$4:$T$17,9,FALSE),"")</f>
        <v>6002.4285714285716</v>
      </c>
      <c r="H88" s="153">
        <f>IFERROR(VLOOKUP(H$4,'Long stay'!$L$4:$T$17,9,FALSE),"")</f>
        <v>6222.5714285714284</v>
      </c>
      <c r="I88" s="153">
        <f>IFERROR(VLOOKUP(I$4,'Long stay'!$L$4:$T$17,9,FALSE),"")</f>
        <v>6968.8571428571431</v>
      </c>
      <c r="J88" s="153">
        <f>IFERROR(VLOOKUP(J$4,'Long stay'!$L$4:$T$17,9,FALSE),"")</f>
        <v>6977.5714285714284</v>
      </c>
      <c r="K88" s="153">
        <f>IFERROR(VLOOKUP(K$4,'Long stay'!$L$4:$T$17,9,FALSE),"")</f>
        <v>6963.2857142857147</v>
      </c>
      <c r="L88" s="153">
        <f>IFERROR(VLOOKUP(L$4,'Long stay'!$L$4:$T$17,9,FALSE),"")</f>
        <v>7000.1428571428569</v>
      </c>
      <c r="M88" s="153">
        <f>IFERROR(VLOOKUP(M$4,'Long stay'!$L$4:$T$17,9,FALSE),"")</f>
        <v>6997.4285714285716</v>
      </c>
      <c r="N88" s="153">
        <f>IFERROR(VLOOKUP(N$4,'Long stay'!$L$4:$T$17,9,FALSE),"")</f>
        <v>6909.7142857142853</v>
      </c>
      <c r="O88" s="153">
        <f>IFERROR(VLOOKUP(O$4,'Long stay'!$L$4:$T$17,9,FALSE),"")</f>
        <v>6825.5714285714284</v>
      </c>
      <c r="P88" s="153">
        <f>IFERROR(VLOOKUP(P$4,'Long stay'!$L$4:$T$17,9,FALSE),"")</f>
        <v>6835</v>
      </c>
      <c r="Q88" s="79" t="str">
        <f>IFERROR(VLOOKUP(Q$4,'Long stay'!$L$4:$S$18,5,FALSE),"")</f>
        <v/>
      </c>
      <c r="Z88" s="171"/>
      <c r="AA88" s="171"/>
      <c r="AB88" s="171"/>
      <c r="AC88" s="171"/>
    </row>
    <row r="89" spans="2:29" ht="15" customHeight="1" x14ac:dyDescent="0.35">
      <c r="B89" s="168"/>
      <c r="C89" s="1" t="s">
        <v>217</v>
      </c>
      <c r="D89" s="153">
        <f>IFERROR(VLOOKUP(D$4,'Long stay'!$L$4:$T$17,6,FALSE),"")</f>
        <v>5868.8571428571431</v>
      </c>
      <c r="E89" s="153">
        <f>IFERROR(VLOOKUP(E$4,'Long stay'!$L$4:$T$17,6,FALSE),"")</f>
        <v>6140.2857142857147</v>
      </c>
      <c r="F89" s="153">
        <f>IFERROR(VLOOKUP(F$4,'Long stay'!$L$4:$T$17,6,FALSE),"")</f>
        <v>6157.1428571428569</v>
      </c>
      <c r="G89" s="153">
        <f>IFERROR(VLOOKUP(G$4,'Long stay'!$L$4:$T$17,6,FALSE),"")</f>
        <v>5620</v>
      </c>
      <c r="H89" s="153">
        <f>IFERROR(VLOOKUP(H$4,'Long stay'!$L$4:$T$17,6,FALSE),"")</f>
        <v>5855.1428571428569</v>
      </c>
      <c r="I89" s="153">
        <f>IFERROR(VLOOKUP(I$4,'Long stay'!$L$4:$T$17,6,FALSE),"")</f>
        <v>6485</v>
      </c>
      <c r="J89" s="153">
        <f>IFERROR(VLOOKUP(J$4,'Long stay'!$L$4:$T$17,6,FALSE),"")</f>
        <v>6253.7142857142853</v>
      </c>
      <c r="K89" s="153">
        <f>IFERROR(VLOOKUP(K$4,'Long stay'!$L$4:$T$17,6,FALSE),"")</f>
        <v>6173.7142857142853</v>
      </c>
      <c r="L89" s="153">
        <f>IFERROR(VLOOKUP(L$4,'Long stay'!$L$4:$T$17,6,FALSE),"")</f>
        <v>6213.8571428571431</v>
      </c>
      <c r="M89" s="153">
        <f>IFERROR(VLOOKUP(M$4,'Long stay'!$L$4:$T$17,6,FALSE),"")</f>
        <v>6417.1428571428569</v>
      </c>
      <c r="N89" s="153">
        <f>IFERROR(VLOOKUP(N$4,'Long stay'!$L$4:$T$17,6,FALSE),"")</f>
        <v>6417.5714285714284</v>
      </c>
      <c r="O89" s="153">
        <f>IFERROR(VLOOKUP(O$4,'Long stay'!$L$4:$T$17,6,FALSE),"")</f>
        <v>6366.5714285714284</v>
      </c>
      <c r="P89" s="153">
        <f>IFERROR(VLOOKUP(P$4,'Long stay'!$L$4:$T$17,6,FALSE),"")</f>
        <v>6394</v>
      </c>
      <c r="Q89" s="79" t="str">
        <f>IFERROR(VLOOKUP(Q$4,'Long stay'!$L$4:$S$18,6,FALSE),"")</f>
        <v/>
      </c>
      <c r="Z89" s="171"/>
      <c r="AA89" s="171"/>
      <c r="AB89" s="171"/>
      <c r="AC89" s="171"/>
    </row>
    <row r="90" spans="2:29" ht="15" customHeight="1" x14ac:dyDescent="0.35">
      <c r="B90" s="168"/>
      <c r="C90" s="11" t="s">
        <v>218</v>
      </c>
      <c r="D90" s="153">
        <f>IFERROR(VLOOKUP(D$4,'Long stay'!$L$4:$T$17,7,FALSE),"")</f>
        <v>4691.8571428571431</v>
      </c>
      <c r="E90" s="153">
        <f>IFERROR(VLOOKUP(E$4,'Long stay'!$L$4:$T$17,7,FALSE),"")</f>
        <v>4692.8571428571431</v>
      </c>
      <c r="F90" s="153">
        <f>IFERROR(VLOOKUP(F$4,'Long stay'!$L$4:$T$17,7,FALSE),"")</f>
        <v>4758.8571428571431</v>
      </c>
      <c r="G90" s="153">
        <f>IFERROR(VLOOKUP(G$4,'Long stay'!$L$4:$T$17,7,FALSE),"")</f>
        <v>4325.7142857142853</v>
      </c>
      <c r="H90" s="153">
        <f>IFERROR(VLOOKUP(H$4,'Long stay'!$L$4:$T$17,7,FALSE),"")</f>
        <v>4470.8571428571431</v>
      </c>
      <c r="I90" s="153">
        <f>IFERROR(VLOOKUP(I$4,'Long stay'!$L$4:$T$17,7,FALSE),"")</f>
        <v>4886.7142857142853</v>
      </c>
      <c r="J90" s="153">
        <f>IFERROR(VLOOKUP(J$4,'Long stay'!$L$4:$T$17,7,FALSE),"")</f>
        <v>4871.7142857142853</v>
      </c>
      <c r="K90" s="153">
        <f>IFERROR(VLOOKUP(K$4,'Long stay'!$L$4:$T$17,7,FALSE),"")</f>
        <v>4835.5714285714284</v>
      </c>
      <c r="L90" s="153">
        <f>IFERROR(VLOOKUP(L$4,'Long stay'!$L$4:$T$17,7,FALSE),"")</f>
        <v>4833</v>
      </c>
      <c r="M90" s="153">
        <f>IFERROR(VLOOKUP(M$4,'Long stay'!$L$4:$T$17,7,FALSE),"")</f>
        <v>4883.7142857142853</v>
      </c>
      <c r="N90" s="153">
        <f>IFERROR(VLOOKUP(N$4,'Long stay'!$L$4:$T$17,7,FALSE),"")</f>
        <v>4862</v>
      </c>
      <c r="O90" s="153">
        <f>IFERROR(VLOOKUP(O$4,'Long stay'!$L$4:$T$17,7,FALSE),"")</f>
        <v>4830.4285714285716</v>
      </c>
      <c r="P90" s="153">
        <f>IFERROR(VLOOKUP(P$4,'Long stay'!$L$4:$T$17,7,FALSE),"")</f>
        <v>4971</v>
      </c>
      <c r="Q90" s="79" t="str">
        <f>IFERROR(VLOOKUP(Q$4,'Long stay'!$L$4:$S$18,7,FALSE),"")</f>
        <v/>
      </c>
      <c r="Z90" s="171"/>
      <c r="AA90" s="171"/>
      <c r="AB90" s="171"/>
      <c r="AC90" s="171"/>
    </row>
    <row r="91" spans="2:29" ht="7.5" customHeight="1" x14ac:dyDescent="0.35">
      <c r="B91" s="168"/>
      <c r="Z91" s="171"/>
      <c r="AA91" s="171"/>
      <c r="AB91" s="171"/>
      <c r="AC91" s="171"/>
    </row>
    <row r="92" spans="2:29" ht="17.25" customHeight="1" x14ac:dyDescent="0.35">
      <c r="B92" s="168"/>
      <c r="C92" s="39" t="s">
        <v>223</v>
      </c>
      <c r="D92" s="119">
        <v>24440.428571428572</v>
      </c>
      <c r="E92" s="119">
        <v>24255</v>
      </c>
      <c r="F92" s="119">
        <v>23700.571428571428</v>
      </c>
      <c r="G92" s="119">
        <v>23240.142857142859</v>
      </c>
      <c r="H92" s="119">
        <v>26075.857142857141</v>
      </c>
      <c r="I92" s="119">
        <v>26588.571428571428</v>
      </c>
      <c r="J92" s="119">
        <v>25931.428571428572</v>
      </c>
      <c r="K92" s="119">
        <v>26034.571428571428</v>
      </c>
      <c r="L92" s="119">
        <v>25894.285714285714</v>
      </c>
      <c r="M92" s="119">
        <v>25497</v>
      </c>
      <c r="N92" s="119">
        <v>25639.714285714286</v>
      </c>
      <c r="O92" s="119">
        <v>25406.142857142859</v>
      </c>
      <c r="P92" s="119">
        <v>25337.428571428572</v>
      </c>
      <c r="Z92" s="171"/>
      <c r="AA92" s="171"/>
      <c r="AB92" s="171"/>
      <c r="AC92" s="171"/>
    </row>
    <row r="93" spans="2:29" ht="14.25" customHeight="1" x14ac:dyDescent="0.35">
      <c r="B93" s="168"/>
      <c r="C93" s="1" t="s">
        <v>283</v>
      </c>
      <c r="D93" s="128">
        <v>18825</v>
      </c>
      <c r="E93" s="128">
        <v>18986.714285714286</v>
      </c>
      <c r="F93" s="128">
        <v>19415.857142857141</v>
      </c>
      <c r="G93" s="128">
        <v>19112.714285714286</v>
      </c>
      <c r="H93" s="128">
        <v>19970.857142857141</v>
      </c>
      <c r="I93" s="128">
        <v>20653.714285714286</v>
      </c>
      <c r="J93" s="128">
        <v>19736</v>
      </c>
      <c r="K93" s="128">
        <v>19302.285714285714</v>
      </c>
      <c r="L93" s="128">
        <v>19256.285714285714</v>
      </c>
      <c r="M93" s="128">
        <v>19522.571428571428</v>
      </c>
      <c r="N93" s="128">
        <v>19380.142857142859</v>
      </c>
      <c r="O93" s="128">
        <v>19201.428571428572</v>
      </c>
      <c r="P93" s="128">
        <v>18957.428571428572</v>
      </c>
      <c r="Q93" s="85"/>
      <c r="Z93" s="171"/>
      <c r="AA93" s="171"/>
      <c r="AB93" s="171"/>
      <c r="AC93" s="171"/>
    </row>
    <row r="94" spans="2:29" ht="8.25" customHeight="1" x14ac:dyDescent="0.35">
      <c r="B94" s="168"/>
      <c r="C94" s="39"/>
      <c r="Q94" s="83"/>
      <c r="Z94" s="171"/>
      <c r="AA94" s="171"/>
      <c r="AB94" s="171"/>
      <c r="AC94" s="171"/>
    </row>
    <row r="95" spans="2:29" x14ac:dyDescent="0.35">
      <c r="B95" s="168"/>
      <c r="C95" s="16" t="s">
        <v>295</v>
      </c>
      <c r="D95" s="100">
        <f>IFERROR(VLOOKUP(D$4,'Long stay'!$BB$4:$BJ$17,2,FALSE),"")</f>
        <v>23685.142857142859</v>
      </c>
      <c r="E95" s="105">
        <f>IFERROR(VLOOKUP(E$4,'Long stay'!$BB$4:$BJ$17,2,FALSE),"")</f>
        <v>23970</v>
      </c>
      <c r="F95" s="105">
        <f>IFERROR(VLOOKUP(F$4,'Long stay'!$BB$4:$BJ$17,2,FALSE),"")</f>
        <v>24314.428571428572</v>
      </c>
      <c r="G95" s="105">
        <f>IFERROR(VLOOKUP(G$4,'Long stay'!$BB$4:$BJ$17,2,FALSE),"")</f>
        <v>23019.571428571428</v>
      </c>
      <c r="H95" s="105">
        <f>IFERROR(VLOOKUP(H$4,'Long stay'!$BB$4:$BJ$17,2,FALSE),"")</f>
        <v>23660</v>
      </c>
      <c r="I95" s="105">
        <f>IFERROR(VLOOKUP(I$4,'Long stay'!$BB$4:$BJ$17,2,FALSE),"")</f>
        <v>26352.714285714286</v>
      </c>
      <c r="J95" s="105">
        <f>IFERROR(VLOOKUP(J$4,'Long stay'!$BB$4:$BJ$17,2,FALSE),"")</f>
        <v>27050.571428571428</v>
      </c>
      <c r="K95" s="105">
        <f>IFERROR(VLOOKUP(K$4,'Long stay'!$BB$4:$BJ$17,2,FALSE),"")</f>
        <v>26662</v>
      </c>
      <c r="L95" s="105">
        <f>IFERROR(VLOOKUP(L$4,'Long stay'!$BB$4:$BJ$17,2,FALSE),"")</f>
        <v>26422</v>
      </c>
      <c r="M95" s="105">
        <f>IFERROR(VLOOKUP(M$4,'Long stay'!$BB$4:$BJ$17,2,FALSE),"")</f>
        <v>26299.857142857141</v>
      </c>
      <c r="N95" s="105">
        <f>IFERROR(VLOOKUP(N$4,'Long stay'!$BB$4:$BJ$17,2,FALSE),"")</f>
        <v>25964.571428571428</v>
      </c>
      <c r="O95" s="105">
        <f>IFERROR(VLOOKUP(O$4,'Long stay'!$BB$4:$BJ$17,2,FALSE),"")</f>
        <v>25999.428571428572</v>
      </c>
      <c r="P95" s="105">
        <f>IFERROR(VLOOKUP(P$4,'Long stay'!$BB$4:$BJ$17,2,FALSE),"")</f>
        <v>26093.714285714286</v>
      </c>
      <c r="Q95" s="78" t="str">
        <f>IFERROR(VLOOKUP(Q$4,'Long stay'!$AF$4:$AM$18,2,FALSE),"")</f>
        <v/>
      </c>
      <c r="Z95" s="171"/>
      <c r="AA95" s="171"/>
      <c r="AB95" s="171"/>
      <c r="AC95" s="171"/>
    </row>
    <row r="96" spans="2:29" x14ac:dyDescent="0.35">
      <c r="B96" s="168"/>
      <c r="C96" s="1" t="s">
        <v>1</v>
      </c>
      <c r="D96" s="153">
        <f>IFERROR(VLOOKUP(D$4,'Long stay'!$BB$4:$BJ$17,3,FALSE),"")</f>
        <v>3344.2857142857142</v>
      </c>
      <c r="E96" s="153">
        <f>IFERROR(VLOOKUP(E$4,'Long stay'!$BB$4:$BJ$17,3,FALSE),"")</f>
        <v>3419.5714285714284</v>
      </c>
      <c r="F96" s="153">
        <f>IFERROR(VLOOKUP(F$4,'Long stay'!$BB$4:$BJ$17,3,FALSE),"")</f>
        <v>3584.7142857142858</v>
      </c>
      <c r="G96" s="153">
        <f>IFERROR(VLOOKUP(G$4,'Long stay'!$BB$4:$BJ$17,3,FALSE),"")</f>
        <v>3472.2857142857142</v>
      </c>
      <c r="H96" s="153">
        <f>IFERROR(VLOOKUP(H$4,'Long stay'!$BB$4:$BJ$17,3,FALSE),"")</f>
        <v>3578.8571428571427</v>
      </c>
      <c r="I96" s="153">
        <f>IFERROR(VLOOKUP(I$4,'Long stay'!$BB$4:$BJ$17,3,FALSE),"")</f>
        <v>3866.8571428571427</v>
      </c>
      <c r="J96" s="153">
        <f>IFERROR(VLOOKUP(J$4,'Long stay'!$BB$4:$BJ$17,3,FALSE),"")</f>
        <v>3873.5714285714284</v>
      </c>
      <c r="K96" s="153">
        <f>IFERROR(VLOOKUP(K$4,'Long stay'!$BB$4:$BJ$17,3,FALSE),"")</f>
        <v>3794.8571428571427</v>
      </c>
      <c r="L96" s="153">
        <f>IFERROR(VLOOKUP(L$4,'Long stay'!$BB$4:$BJ$17,3,FALSE),"")</f>
        <v>3741.8571428571427</v>
      </c>
      <c r="M96" s="153">
        <f>IFERROR(VLOOKUP(M$4,'Long stay'!$BB$4:$BJ$17,3,FALSE),"")</f>
        <v>3788.2857142857142</v>
      </c>
      <c r="N96" s="153">
        <f>IFERROR(VLOOKUP(N$4,'Long stay'!$BB$4:$BJ$17,3,FALSE),"")</f>
        <v>3790.2857142857142</v>
      </c>
      <c r="O96" s="153">
        <f>IFERROR(VLOOKUP(O$4,'Long stay'!$BB$4:$BJ$17,3,FALSE),"")</f>
        <v>3815.8571428571427</v>
      </c>
      <c r="P96" s="153">
        <f>IFERROR(VLOOKUP(P$4,'Long stay'!$BB$4:$BJ$17,3,FALSE),"")</f>
        <v>3829.5714285714284</v>
      </c>
      <c r="Q96" s="79" t="str">
        <f>IFERROR(VLOOKUP(Q$4,'Long stay'!$AF$4:$AM$18,3,FALSE),"")</f>
        <v/>
      </c>
      <c r="Z96" s="171"/>
      <c r="AA96" s="171"/>
      <c r="AB96" s="171"/>
      <c r="AC96" s="171"/>
    </row>
    <row r="97" spans="2:29" x14ac:dyDescent="0.35">
      <c r="B97" s="168"/>
      <c r="C97" s="1" t="s">
        <v>220</v>
      </c>
      <c r="D97" s="153">
        <f>IFERROR(VLOOKUP(D$4,'Long stay'!$BB$4:$BJ$17,4,FALSE),"")</f>
        <v>4039.5714285714284</v>
      </c>
      <c r="E97" s="153">
        <f>IFERROR(VLOOKUP(E$4,'Long stay'!$BB$4:$BJ$17,4,FALSE),"")</f>
        <v>4030.1428571428573</v>
      </c>
      <c r="F97" s="153">
        <f>IFERROR(VLOOKUP(F$4,'Long stay'!$BB$4:$BJ$17,4,FALSE),"")</f>
        <v>4060.7142857142858</v>
      </c>
      <c r="G97" s="153">
        <f>IFERROR(VLOOKUP(G$4,'Long stay'!$BB$4:$BJ$17,4,FALSE),"")</f>
        <v>3802.4285714285716</v>
      </c>
      <c r="H97" s="153">
        <f>IFERROR(VLOOKUP(H$4,'Long stay'!$BB$4:$BJ$17,4,FALSE),"")</f>
        <v>3940.8571428571427</v>
      </c>
      <c r="I97" s="153">
        <f>IFERROR(VLOOKUP(I$4,'Long stay'!$BB$4:$BJ$17,4,FALSE),"")</f>
        <v>4438.2857142857147</v>
      </c>
      <c r="J97" s="153">
        <f>IFERROR(VLOOKUP(J$4,'Long stay'!$BB$4:$BJ$17,4,FALSE),"")</f>
        <v>4582</v>
      </c>
      <c r="K97" s="153">
        <f>IFERROR(VLOOKUP(K$4,'Long stay'!$BB$4:$BJ$17,4,FALSE),"")</f>
        <v>4509.5714285714284</v>
      </c>
      <c r="L97" s="153">
        <f>IFERROR(VLOOKUP(L$4,'Long stay'!$BB$4:$BJ$17,4,FALSE),"")</f>
        <v>4435.2857142857147</v>
      </c>
      <c r="M97" s="153">
        <f>IFERROR(VLOOKUP(M$4,'Long stay'!$BB$4:$BJ$17,4,FALSE),"")</f>
        <v>4304.8571428571431</v>
      </c>
      <c r="N97" s="153">
        <f>IFERROR(VLOOKUP(N$4,'Long stay'!$BB$4:$BJ$17,4,FALSE),"")</f>
        <v>4222.1428571428569</v>
      </c>
      <c r="O97" s="153">
        <f>IFERROR(VLOOKUP(O$4,'Long stay'!$BB$4:$BJ$17,4,FALSE),"")</f>
        <v>4171.4285714285716</v>
      </c>
      <c r="P97" s="153">
        <f>IFERROR(VLOOKUP(P$4,'Long stay'!$BB$4:$BJ$17,4,FALSE),"")</f>
        <v>4188.5714285714284</v>
      </c>
      <c r="Q97" s="79" t="str">
        <f>IFERROR(VLOOKUP(Q$4,'Long stay'!$AF$4:$AM$18,4,FALSE),"")</f>
        <v/>
      </c>
      <c r="Z97" s="171"/>
      <c r="AA97" s="171"/>
      <c r="AB97" s="171"/>
      <c r="AC97" s="171"/>
    </row>
    <row r="98" spans="2:29" x14ac:dyDescent="0.35">
      <c r="B98" s="168"/>
      <c r="C98" s="1" t="s">
        <v>248</v>
      </c>
      <c r="D98" s="153">
        <f>IFERROR(VLOOKUP(D$4,'Long stay'!$BB$4:$BJ$17,8,FALSE),"")</f>
        <v>2384.4285714285716</v>
      </c>
      <c r="E98" s="153">
        <f>IFERROR(VLOOKUP(E$4,'Long stay'!$BB$4:$BJ$17,8,FALSE),"")</f>
        <v>2412</v>
      </c>
      <c r="F98" s="153">
        <f>IFERROR(VLOOKUP(F$4,'Long stay'!$BB$4:$BJ$17,8,FALSE),"")</f>
        <v>2429.2857142857142</v>
      </c>
      <c r="G98" s="153">
        <f>IFERROR(VLOOKUP(G$4,'Long stay'!$BB$4:$BJ$17,8,FALSE),"")</f>
        <v>2329.1428571428573</v>
      </c>
      <c r="H98" s="153">
        <f>IFERROR(VLOOKUP(H$4,'Long stay'!$BB$4:$BJ$17,8,FALSE),"")</f>
        <v>2370.2857142857142</v>
      </c>
      <c r="I98" s="153">
        <f>IFERROR(VLOOKUP(I$4,'Long stay'!$BB$4:$BJ$17,8,FALSE),"")</f>
        <v>2582.5714285714284</v>
      </c>
      <c r="J98" s="153">
        <f>IFERROR(VLOOKUP(J$4,'Long stay'!$BB$4:$BJ$17,8,FALSE),"")</f>
        <v>2629</v>
      </c>
      <c r="K98" s="153">
        <f>IFERROR(VLOOKUP(K$4,'Long stay'!$BB$4:$BJ$17,8,FALSE),"")</f>
        <v>2608.2857142857142</v>
      </c>
      <c r="L98" s="153">
        <f>IFERROR(VLOOKUP(L$4,'Long stay'!$BB$4:$BJ$17,8,FALSE),"")</f>
        <v>2576.1428571428573</v>
      </c>
      <c r="M98" s="153">
        <f>IFERROR(VLOOKUP(M$4,'Long stay'!$BB$4:$BJ$17,8,FALSE),"")</f>
        <v>2535.8571428571427</v>
      </c>
      <c r="N98" s="153">
        <f>IFERROR(VLOOKUP(N$4,'Long stay'!$BB$4:$BJ$17,8,FALSE),"")</f>
        <v>2577.8571428571427</v>
      </c>
      <c r="O98" s="153">
        <f>IFERROR(VLOOKUP(O$4,'Long stay'!$BB$4:$BJ$17,8,FALSE),"")</f>
        <v>2575</v>
      </c>
      <c r="P98" s="153">
        <f>IFERROR(VLOOKUP(P$4,'Long stay'!$BB$4:$BJ$17,8,FALSE),"")</f>
        <v>2572.2857142857142</v>
      </c>
      <c r="Q98" s="79"/>
      <c r="Z98" s="171"/>
      <c r="AA98" s="171"/>
      <c r="AB98" s="171"/>
      <c r="AC98" s="171"/>
    </row>
    <row r="99" spans="2:29" x14ac:dyDescent="0.35">
      <c r="B99" s="168"/>
      <c r="C99" s="1" t="s">
        <v>249</v>
      </c>
      <c r="D99" s="153">
        <f>IFERROR(VLOOKUP(D$4,'Long stay'!$BB$4:$BJ$17,5,FALSE),"")</f>
        <v>4117</v>
      </c>
      <c r="E99" s="153">
        <f>IFERROR(VLOOKUP(E$4,'Long stay'!$BB$4:$BJ$17,5,FALSE),"")</f>
        <v>4169.5714285714284</v>
      </c>
      <c r="F99" s="153">
        <f>IFERROR(VLOOKUP(F$4,'Long stay'!$BB$4:$BJ$17,5,FALSE),"")</f>
        <v>4207.8571428571431</v>
      </c>
      <c r="G99" s="153">
        <f>IFERROR(VLOOKUP(G$4,'Long stay'!$BB$4:$BJ$17,5,FALSE),"")</f>
        <v>3919</v>
      </c>
      <c r="H99" s="153">
        <f>IFERROR(VLOOKUP(H$4,'Long stay'!$BB$4:$BJ$17,5,FALSE),"")</f>
        <v>3922.1428571428573</v>
      </c>
      <c r="I99" s="153">
        <f>IFERROR(VLOOKUP(I$4,'Long stay'!$BB$4:$BJ$17,5,FALSE),"")</f>
        <v>4438</v>
      </c>
      <c r="J99" s="153">
        <f>IFERROR(VLOOKUP(J$4,'Long stay'!$BB$4:$BJ$17,5,FALSE),"")</f>
        <v>4712.5714285714284</v>
      </c>
      <c r="K99" s="153">
        <f>IFERROR(VLOOKUP(K$4,'Long stay'!$BB$4:$BJ$17,5,FALSE),"")</f>
        <v>4723.1428571428569</v>
      </c>
      <c r="L99" s="153">
        <f>IFERROR(VLOOKUP(L$4,'Long stay'!$BB$4:$BJ$17,5,FALSE),"")</f>
        <v>4656.2857142857147</v>
      </c>
      <c r="M99" s="153">
        <f>IFERROR(VLOOKUP(M$4,'Long stay'!$BB$4:$BJ$17,5,FALSE),"")</f>
        <v>4579</v>
      </c>
      <c r="N99" s="153">
        <f>IFERROR(VLOOKUP(N$4,'Long stay'!$BB$4:$BJ$17,5,FALSE),"")</f>
        <v>4305.5714285714284</v>
      </c>
      <c r="O99" s="153">
        <f>IFERROR(VLOOKUP(O$4,'Long stay'!$BB$4:$BJ$17,5,FALSE),"")</f>
        <v>4451.8571428571431</v>
      </c>
      <c r="P99" s="153">
        <f>IFERROR(VLOOKUP(P$4,'Long stay'!$BB$4:$BJ$17,5,FALSE),"")</f>
        <v>4500</v>
      </c>
      <c r="Q99" s="79"/>
      <c r="Z99" s="171"/>
      <c r="AA99" s="171"/>
      <c r="AB99" s="171"/>
      <c r="AC99" s="171"/>
    </row>
    <row r="100" spans="2:29" x14ac:dyDescent="0.35">
      <c r="B100" s="168"/>
      <c r="C100" s="1" t="s">
        <v>251</v>
      </c>
      <c r="D100" s="153">
        <f>IFERROR(VLOOKUP(D$4,'Long stay'!$BB$4:$BJ$17,9,FALSE),"")</f>
        <v>3817</v>
      </c>
      <c r="E100" s="153">
        <f>IFERROR(VLOOKUP(E$4,'Long stay'!$BB$4:$BJ$17,9,FALSE),"")</f>
        <v>3833.5714285714284</v>
      </c>
      <c r="F100" s="153">
        <f>IFERROR(VLOOKUP(F$4,'Long stay'!$BB$4:$BJ$17,9,FALSE),"")</f>
        <v>3855.1428571428573</v>
      </c>
      <c r="G100" s="153">
        <f>IFERROR(VLOOKUP(G$4,'Long stay'!$BB$4:$BJ$17,9,FALSE),"")</f>
        <v>3678</v>
      </c>
      <c r="H100" s="153">
        <f>IFERROR(VLOOKUP(H$4,'Long stay'!$BB$4:$BJ$17,9,FALSE),"")</f>
        <v>3814.2857142857142</v>
      </c>
      <c r="I100" s="153">
        <f>IFERROR(VLOOKUP(I$4,'Long stay'!$BB$4:$BJ$17,9,FALSE),"")</f>
        <v>4307.5714285714284</v>
      </c>
      <c r="J100" s="153">
        <f>IFERROR(VLOOKUP(J$4,'Long stay'!$BB$4:$BJ$17,9,FALSE),"")</f>
        <v>4521.2857142857147</v>
      </c>
      <c r="K100" s="153">
        <f>IFERROR(VLOOKUP(K$4,'Long stay'!$BB$4:$BJ$17,9,FALSE),"")</f>
        <v>4423.8571428571431</v>
      </c>
      <c r="L100" s="153">
        <f>IFERROR(VLOOKUP(L$4,'Long stay'!$BB$4:$BJ$17,9,FALSE),"")</f>
        <v>4432.7142857142853</v>
      </c>
      <c r="M100" s="153">
        <f>IFERROR(VLOOKUP(M$4,'Long stay'!$BB$4:$BJ$17,9,FALSE),"")</f>
        <v>4426.7142857142853</v>
      </c>
      <c r="N100" s="153">
        <f>IFERROR(VLOOKUP(N$4,'Long stay'!$BB$4:$BJ$17,9,FALSE),"")</f>
        <v>4340.5714285714284</v>
      </c>
      <c r="O100" s="153">
        <f>IFERROR(VLOOKUP(O$4,'Long stay'!$BB$4:$BJ$17,9,FALSE),"")</f>
        <v>4283.7142857142853</v>
      </c>
      <c r="P100" s="153">
        <f>IFERROR(VLOOKUP(P$4,'Long stay'!$BB$4:$BJ$17,9,FALSE),"")</f>
        <v>4266.8571428571431</v>
      </c>
      <c r="Q100" s="79" t="str">
        <f>IFERROR(VLOOKUP(Q$4,'Long stay'!$AF$4:$AM$18,5,FALSE),"")</f>
        <v/>
      </c>
      <c r="Z100" s="171"/>
      <c r="AA100" s="171"/>
      <c r="AB100" s="171"/>
      <c r="AC100" s="171"/>
    </row>
    <row r="101" spans="2:29" x14ac:dyDescent="0.35">
      <c r="B101" s="168"/>
      <c r="C101" s="1" t="s">
        <v>217</v>
      </c>
      <c r="D101" s="153">
        <f>IFERROR(VLOOKUP(D$4,'Long stay'!$BB$4:$BJ$17,6,FALSE),"")</f>
        <v>3191.2857142857142</v>
      </c>
      <c r="E101" s="153">
        <f>IFERROR(VLOOKUP(E$4,'Long stay'!$BB$4:$BJ$17,6,FALSE),"")</f>
        <v>3297.8571428571427</v>
      </c>
      <c r="F101" s="153">
        <f>IFERROR(VLOOKUP(F$4,'Long stay'!$BB$4:$BJ$17,6,FALSE),"")</f>
        <v>3365.4285714285716</v>
      </c>
      <c r="G101" s="153">
        <f>IFERROR(VLOOKUP(G$4,'Long stay'!$BB$4:$BJ$17,6,FALSE),"")</f>
        <v>3168</v>
      </c>
      <c r="H101" s="153">
        <f>IFERROR(VLOOKUP(H$4,'Long stay'!$BB$4:$BJ$17,6,FALSE),"")</f>
        <v>3326.5714285714284</v>
      </c>
      <c r="I101" s="153">
        <f>IFERROR(VLOOKUP(I$4,'Long stay'!$BB$4:$BJ$17,6,FALSE),"")</f>
        <v>3742.7142857142858</v>
      </c>
      <c r="J101" s="153">
        <f>IFERROR(VLOOKUP(J$4,'Long stay'!$BB$4:$BJ$17,6,FALSE),"")</f>
        <v>3677.8571428571427</v>
      </c>
      <c r="K101" s="153">
        <f>IFERROR(VLOOKUP(K$4,'Long stay'!$BB$4:$BJ$17,6,FALSE),"")</f>
        <v>3562.1428571428573</v>
      </c>
      <c r="L101" s="153">
        <f>IFERROR(VLOOKUP(L$4,'Long stay'!$BB$4:$BJ$17,6,FALSE),"")</f>
        <v>3588.4285714285716</v>
      </c>
      <c r="M101" s="153">
        <f>IFERROR(VLOOKUP(M$4,'Long stay'!$BB$4:$BJ$17,6,FALSE),"")</f>
        <v>3628.8571428571427</v>
      </c>
      <c r="N101" s="153">
        <f>IFERROR(VLOOKUP(N$4,'Long stay'!$BB$4:$BJ$17,6,FALSE),"")</f>
        <v>3716.2857142857142</v>
      </c>
      <c r="O101" s="153">
        <f>IFERROR(VLOOKUP(O$4,'Long stay'!$BB$4:$BJ$17,6,FALSE),"")</f>
        <v>3704.4285714285716</v>
      </c>
      <c r="P101" s="153">
        <f>IFERROR(VLOOKUP(P$4,'Long stay'!$BB$4:$BJ$17,6,FALSE),"")</f>
        <v>3653.5714285714284</v>
      </c>
      <c r="Q101" s="79" t="str">
        <f>IFERROR(VLOOKUP(Q$4,'Long stay'!$AF$4:$AM$18,6,FALSE),"")</f>
        <v/>
      </c>
      <c r="Z101" s="49"/>
      <c r="AA101" s="49"/>
      <c r="AB101" s="49"/>
      <c r="AC101" s="49"/>
    </row>
    <row r="102" spans="2:29" x14ac:dyDescent="0.35">
      <c r="B102" s="168"/>
      <c r="C102" s="11" t="s">
        <v>218</v>
      </c>
      <c r="D102" s="153">
        <f>IFERROR(VLOOKUP(D$4,'Long stay'!$BB$4:$BJ$17,7,FALSE),"")</f>
        <v>2791.5714285714284</v>
      </c>
      <c r="E102" s="153">
        <f>IFERROR(VLOOKUP(E$4,'Long stay'!$BB$4:$BJ$17,7,FALSE),"")</f>
        <v>2807.2857142857142</v>
      </c>
      <c r="F102" s="153">
        <f>IFERROR(VLOOKUP(F$4,'Long stay'!$BB$4:$BJ$17,7,FALSE),"")</f>
        <v>2811.2857142857142</v>
      </c>
      <c r="G102" s="153">
        <f>IFERROR(VLOOKUP(G$4,'Long stay'!$BB$4:$BJ$17,7,FALSE),"")</f>
        <v>2650.7142857142858</v>
      </c>
      <c r="H102" s="153">
        <f>IFERROR(VLOOKUP(H$4,'Long stay'!$BB$4:$BJ$17,7,FALSE),"")</f>
        <v>2707</v>
      </c>
      <c r="I102" s="153">
        <f>IFERROR(VLOOKUP(I$4,'Long stay'!$BB$4:$BJ$17,7,FALSE),"")</f>
        <v>2976.7142857142858</v>
      </c>
      <c r="J102" s="153">
        <f>IFERROR(VLOOKUP(J$4,'Long stay'!$BB$4:$BJ$17,7,FALSE),"")</f>
        <v>3054.2857142857142</v>
      </c>
      <c r="K102" s="153">
        <f>IFERROR(VLOOKUP(K$4,'Long stay'!$BB$4:$BJ$17,7,FALSE),"")</f>
        <v>3040.1428571428573</v>
      </c>
      <c r="L102" s="153">
        <f>IFERROR(VLOOKUP(L$4,'Long stay'!$BB$4:$BJ$17,7,FALSE),"")</f>
        <v>2991.2857142857142</v>
      </c>
      <c r="M102" s="153">
        <f>IFERROR(VLOOKUP(M$4,'Long stay'!$BB$4:$BJ$17,7,FALSE),"")</f>
        <v>3036.2857142857142</v>
      </c>
      <c r="N102" s="153">
        <f>IFERROR(VLOOKUP(N$4,'Long stay'!$BB$4:$BJ$17,7,FALSE),"")</f>
        <v>3011.8571428571427</v>
      </c>
      <c r="O102" s="153">
        <f>IFERROR(VLOOKUP(O$4,'Long stay'!$BB$4:$BJ$17,7,FALSE),"")</f>
        <v>2997.1428571428573</v>
      </c>
      <c r="P102" s="153">
        <f>IFERROR(VLOOKUP(P$4,'Long stay'!$BB$4:$BJ$17,7,FALSE),"")</f>
        <v>3082.8571428571427</v>
      </c>
      <c r="Q102" s="79" t="str">
        <f>IFERROR(VLOOKUP(Q$4,'Long stay'!$AF$4:$AM$18,7,FALSE),"")</f>
        <v/>
      </c>
      <c r="Z102" s="102"/>
      <c r="AA102" s="102"/>
      <c r="AB102" s="102"/>
      <c r="AC102" s="49"/>
    </row>
    <row r="103" spans="2:29" x14ac:dyDescent="0.35">
      <c r="B103" s="168"/>
      <c r="C103" s="39" t="s">
        <v>10</v>
      </c>
      <c r="D103" s="122">
        <v>15383.714285714286</v>
      </c>
      <c r="E103" s="122">
        <v>15362</v>
      </c>
      <c r="F103" s="122">
        <v>15044.857142857143</v>
      </c>
      <c r="G103" s="122">
        <v>14660.571428571429</v>
      </c>
      <c r="H103" s="122">
        <v>16412.857142857141</v>
      </c>
      <c r="I103" s="122">
        <v>17087</v>
      </c>
      <c r="J103" s="122">
        <v>16828.142857142859</v>
      </c>
      <c r="K103" s="122">
        <v>16632.428571428572</v>
      </c>
      <c r="L103" s="122">
        <v>16630.857142857141</v>
      </c>
      <c r="M103" s="122">
        <v>16398.714285714286</v>
      </c>
      <c r="N103" s="122">
        <v>16455.142857142859</v>
      </c>
      <c r="O103" s="122">
        <v>16353.285714285714</v>
      </c>
      <c r="P103" s="122">
        <v>16204.714285714286</v>
      </c>
      <c r="Z103" s="49"/>
      <c r="AA103" s="49"/>
      <c r="AB103" s="49"/>
      <c r="AC103" s="49"/>
    </row>
    <row r="104" spans="2:29" x14ac:dyDescent="0.35">
      <c r="B104" s="168"/>
      <c r="C104" s="1" t="s">
        <v>283</v>
      </c>
      <c r="D104" s="128">
        <v>11336</v>
      </c>
      <c r="E104" s="128">
        <v>11411.142857142857</v>
      </c>
      <c r="F104" s="128">
        <v>11401.142857142857</v>
      </c>
      <c r="G104" s="128">
        <v>11233.285714285714</v>
      </c>
      <c r="H104" s="128">
        <v>11928.142857142857</v>
      </c>
      <c r="I104" s="128">
        <v>12541</v>
      </c>
      <c r="J104" s="128">
        <v>11895.571428571429</v>
      </c>
      <c r="K104" s="128">
        <v>11374</v>
      </c>
      <c r="L104" s="128">
        <v>11252.428571428571</v>
      </c>
      <c r="M104" s="128">
        <v>11406.285714285714</v>
      </c>
      <c r="N104" s="128">
        <v>11559</v>
      </c>
      <c r="O104" s="128">
        <v>11585.285714285714</v>
      </c>
      <c r="P104" s="128">
        <v>11560.428571428571</v>
      </c>
      <c r="Z104" s="49"/>
      <c r="AA104" s="49"/>
      <c r="AB104" s="49"/>
      <c r="AC104" s="49"/>
    </row>
    <row r="105" spans="2:29" ht="7.5" customHeight="1" x14ac:dyDescent="0.35">
      <c r="B105" s="168"/>
      <c r="C105" s="39"/>
      <c r="Z105" s="49"/>
      <c r="AA105" s="49"/>
      <c r="AB105" s="49"/>
      <c r="AC105" s="49"/>
    </row>
    <row r="106" spans="2:29" x14ac:dyDescent="0.35">
      <c r="B106" s="168"/>
      <c r="C106" s="16" t="s">
        <v>295</v>
      </c>
      <c r="D106" s="60">
        <f>IFERROR(VLOOKUP(D$4,'Long stay'!$AF$4:$AN$17,2,FALSE),"")</f>
        <v>14957.714285714286</v>
      </c>
      <c r="E106" s="105">
        <f>IFERROR(VLOOKUP(E$4,'Long stay'!$AF$4:$AN$17,2,FALSE),"")</f>
        <v>15111.142857142857</v>
      </c>
      <c r="F106" s="105">
        <f>IFERROR(VLOOKUP(F$4,'Long stay'!$AF$4:$AN$17,2,FALSE),"")</f>
        <v>15140.142857142857</v>
      </c>
      <c r="G106" s="105">
        <f>IFERROR(VLOOKUP(G$4,'Long stay'!$AF$4:$AN$17,2,FALSE),"")</f>
        <v>14418.285714285714</v>
      </c>
      <c r="H106" s="105">
        <f>IFERROR(VLOOKUP(H$4,'Long stay'!$AF$4:$AN$17,2,FALSE),"")</f>
        <v>15202.428571428571</v>
      </c>
      <c r="I106" s="105">
        <f>IFERROR(VLOOKUP(I$4,'Long stay'!$AF$4:$AN$17,2,FALSE),"")</f>
        <v>16910.857142857141</v>
      </c>
      <c r="J106" s="105">
        <f>IFERROR(VLOOKUP(J$4,'Long stay'!$AF$4:$AN$17,2,FALSE),"")</f>
        <v>17541.285714285714</v>
      </c>
      <c r="K106" s="105">
        <f>IFERROR(VLOOKUP(K$4,'Long stay'!$AF$4:$AN$17,2,FALSE),"")</f>
        <v>17719.428571428572</v>
      </c>
      <c r="L106" s="105">
        <f>IFERROR(VLOOKUP(L$4,'Long stay'!$AF$4:$AN$17,2,FALSE),"")</f>
        <v>17357.428571428572</v>
      </c>
      <c r="M106" s="105">
        <f>IFERROR(VLOOKUP(M$4,'Long stay'!$AF$4:$AN$17,2,FALSE),"")</f>
        <v>17220</v>
      </c>
      <c r="N106" s="105">
        <f>IFERROR(VLOOKUP(N$4,'Long stay'!$AF$4:$AN$17,2,FALSE),"")</f>
        <v>16888.428571428572</v>
      </c>
      <c r="O106" s="105">
        <f>IFERROR(VLOOKUP(O$4,'Long stay'!$AF$4:$AN$17,2,FALSE),"")</f>
        <v>16840</v>
      </c>
      <c r="P106" s="105">
        <f>IFERROR(VLOOKUP(P$4,'Long stay'!$AF$4:$AN$17,2,FALSE),"")</f>
        <v>16971.714285714286</v>
      </c>
      <c r="Q106" s="78" t="str">
        <f>IFERROR(VLOOKUP(Q$4,'Long stay'!$AF$4:$AM$18,2,FALSE),"")</f>
        <v/>
      </c>
      <c r="Z106" s="49"/>
      <c r="AA106" s="49"/>
      <c r="AB106" s="49"/>
      <c r="AC106" s="49"/>
    </row>
    <row r="107" spans="2:29" x14ac:dyDescent="0.35">
      <c r="B107" s="168"/>
      <c r="C107" s="1" t="s">
        <v>1</v>
      </c>
      <c r="D107" s="153">
        <f>IFERROR(VLOOKUP(D$4,'Long stay'!$AF$4:$AN$17,3,FALSE),"")</f>
        <v>2215</v>
      </c>
      <c r="E107" s="153">
        <f>IFERROR(VLOOKUP(E$4,'Long stay'!$AF$4:$AN$17,3,FALSE),"")</f>
        <v>2228.8571428571427</v>
      </c>
      <c r="F107" s="153">
        <f>IFERROR(VLOOKUP(F$4,'Long stay'!$AF$4:$AN$17,3,FALSE),"")</f>
        <v>2288.4285714285716</v>
      </c>
      <c r="G107" s="153">
        <f>IFERROR(VLOOKUP(G$4,'Long stay'!$AF$4:$AN$17,3,FALSE),"")</f>
        <v>2264.1428571428573</v>
      </c>
      <c r="H107" s="153">
        <f>IFERROR(VLOOKUP(H$4,'Long stay'!$AF$4:$AN$17,3,FALSE),"")</f>
        <v>2374.2857142857142</v>
      </c>
      <c r="I107" s="153">
        <f>IFERROR(VLOOKUP(I$4,'Long stay'!$AF$4:$AN$17,3,FALSE),"")</f>
        <v>2582.1428571428573</v>
      </c>
      <c r="J107" s="153">
        <f>IFERROR(VLOOKUP(J$4,'Long stay'!$AF$4:$AN$17,3,FALSE),"")</f>
        <v>2619</v>
      </c>
      <c r="K107" s="153">
        <f>IFERROR(VLOOKUP(K$4,'Long stay'!$AF$4:$AN$17,3,FALSE),"")</f>
        <v>2572.1428571428573</v>
      </c>
      <c r="L107" s="153">
        <f>IFERROR(VLOOKUP(L$4,'Long stay'!$AF$4:$AN$17,3,FALSE),"")</f>
        <v>2500.4285714285716</v>
      </c>
      <c r="M107" s="153">
        <f>IFERROR(VLOOKUP(M$4,'Long stay'!$AF$4:$AN$17,3,FALSE),"")</f>
        <v>2488.1428571428573</v>
      </c>
      <c r="N107" s="153">
        <f>IFERROR(VLOOKUP(N$4,'Long stay'!$AF$4:$AN$17,3,FALSE),"")</f>
        <v>2495.2857142857142</v>
      </c>
      <c r="O107" s="153">
        <f>IFERROR(VLOOKUP(O$4,'Long stay'!$AF$4:$AN$17,3,FALSE),"")</f>
        <v>2529.4285714285716</v>
      </c>
      <c r="P107" s="153">
        <f>IFERROR(VLOOKUP(P$4,'Long stay'!$AF$4:$AN$17,3,FALSE),"")</f>
        <v>2613</v>
      </c>
      <c r="Q107" s="79" t="str">
        <f>IFERROR(VLOOKUP(Q$4,'Long stay'!$AF$4:$AM$18,3,FALSE),"")</f>
        <v/>
      </c>
      <c r="Z107" s="49"/>
      <c r="AA107" s="49"/>
      <c r="AB107" s="49"/>
      <c r="AC107" s="49"/>
    </row>
    <row r="108" spans="2:29" x14ac:dyDescent="0.35">
      <c r="B108" s="168"/>
      <c r="C108" s="1" t="s">
        <v>220</v>
      </c>
      <c r="D108" s="153">
        <f>IFERROR(VLOOKUP(D$4,'Long stay'!$AF$4:$AN$17,4,FALSE),"")</f>
        <v>2433.8571428571427</v>
      </c>
      <c r="E108" s="153">
        <f>IFERROR(VLOOKUP(E$4,'Long stay'!$AF$4:$AN$17,4,FALSE),"")</f>
        <v>2495.2857142857142</v>
      </c>
      <c r="F108" s="153">
        <f>IFERROR(VLOOKUP(F$4,'Long stay'!$AF$4:$AN$17,4,FALSE),"")</f>
        <v>2474.5714285714284</v>
      </c>
      <c r="G108" s="153">
        <f>IFERROR(VLOOKUP(G$4,'Long stay'!$AF$4:$AN$17,4,FALSE),"")</f>
        <v>2313.5714285714284</v>
      </c>
      <c r="H108" s="153">
        <f>IFERROR(VLOOKUP(H$4,'Long stay'!$AF$4:$AN$17,4,FALSE),"")</f>
        <v>2428.8571428571427</v>
      </c>
      <c r="I108" s="153">
        <f>IFERROR(VLOOKUP(I$4,'Long stay'!$AF$4:$AN$17,4,FALSE),"")</f>
        <v>2750.5714285714284</v>
      </c>
      <c r="J108" s="153">
        <f>IFERROR(VLOOKUP(J$4,'Long stay'!$AF$4:$AN$17,4,FALSE),"")</f>
        <v>2874.8571428571427</v>
      </c>
      <c r="K108" s="153">
        <f>IFERROR(VLOOKUP(K$4,'Long stay'!$AF$4:$AN$17,4,FALSE),"")</f>
        <v>2904.1428571428573</v>
      </c>
      <c r="L108" s="153">
        <f>IFERROR(VLOOKUP(L$4,'Long stay'!$AF$4:$AN$17,4,FALSE),"")</f>
        <v>2830</v>
      </c>
      <c r="M108" s="153">
        <f>IFERROR(VLOOKUP(M$4,'Long stay'!$AF$4:$AN$17,4,FALSE),"")</f>
        <v>2765.2857142857142</v>
      </c>
      <c r="N108" s="153">
        <f>IFERROR(VLOOKUP(N$4,'Long stay'!$AF$4:$AN$17,4,FALSE),"")</f>
        <v>2617.7142857142858</v>
      </c>
      <c r="O108" s="153">
        <f>IFERROR(VLOOKUP(O$4,'Long stay'!$AF$4:$AN$17,4,FALSE),"")</f>
        <v>2616.7142857142858</v>
      </c>
      <c r="P108" s="153">
        <f>IFERROR(VLOOKUP(P$4,'Long stay'!$AF$4:$AN$17,4,FALSE),"")</f>
        <v>2583.1428571428573</v>
      </c>
      <c r="Q108" s="79" t="str">
        <f>IFERROR(VLOOKUP(Q$4,'Long stay'!$AF$4:$AM$18,4,FALSE),"")</f>
        <v/>
      </c>
      <c r="Z108" s="49"/>
      <c r="AA108" s="49"/>
      <c r="AB108" s="49"/>
      <c r="AC108" s="49"/>
    </row>
    <row r="109" spans="2:29" x14ac:dyDescent="0.35">
      <c r="B109" s="168"/>
      <c r="C109" s="1" t="s">
        <v>248</v>
      </c>
      <c r="D109" s="153">
        <f>IFERROR(VLOOKUP(D$4,'Long stay'!$AF$4:$AN$17,8,FALSE),"")</f>
        <v>1464.1428571428571</v>
      </c>
      <c r="E109" s="153">
        <f>IFERROR(VLOOKUP(E$4,'Long stay'!$AF$4:$AN$17,8,FALSE),"")</f>
        <v>1448.2857142857142</v>
      </c>
      <c r="F109" s="153">
        <f>IFERROR(VLOOKUP(F$4,'Long stay'!$AF$4:$AN$17,8,FALSE),"")</f>
        <v>1445</v>
      </c>
      <c r="G109" s="153">
        <f>IFERROR(VLOOKUP(G$4,'Long stay'!$AF$4:$AN$17,8,FALSE),"")</f>
        <v>1411.5714285714287</v>
      </c>
      <c r="H109" s="153">
        <f>IFERROR(VLOOKUP(H$4,'Long stay'!$AF$4:$AN$17,8,FALSE),"")</f>
        <v>1450.2857142857142</v>
      </c>
      <c r="I109" s="153">
        <f>IFERROR(VLOOKUP(I$4,'Long stay'!$AF$4:$AN$17,8,FALSE),"")</f>
        <v>1580.7142857142858</v>
      </c>
      <c r="J109" s="153">
        <f>IFERROR(VLOOKUP(J$4,'Long stay'!$AF$4:$AN$17,8,FALSE),"")</f>
        <v>1609.2857142857142</v>
      </c>
      <c r="K109" s="153">
        <f>IFERROR(VLOOKUP(K$4,'Long stay'!$AF$4:$AN$17,8,FALSE),"")</f>
        <v>1638.1428571428571</v>
      </c>
      <c r="L109" s="153">
        <f>IFERROR(VLOOKUP(L$4,'Long stay'!$AF$4:$AN$17,8,FALSE),"")</f>
        <v>1600.8571428571429</v>
      </c>
      <c r="M109" s="153">
        <f>IFERROR(VLOOKUP(M$4,'Long stay'!$AF$4:$AN$17,8,FALSE),"")</f>
        <v>1590.7142857142858</v>
      </c>
      <c r="N109" s="153">
        <f>IFERROR(VLOOKUP(N$4,'Long stay'!$AF$4:$AN$17,8,FALSE),"")</f>
        <v>1580.7142857142858</v>
      </c>
      <c r="O109" s="153">
        <f>IFERROR(VLOOKUP(O$4,'Long stay'!$AF$4:$AN$17,8,FALSE),"")</f>
        <v>1613.5714285714287</v>
      </c>
      <c r="P109" s="153">
        <f>IFERROR(VLOOKUP(P$4,'Long stay'!$AF$4:$AN$17,8,FALSE),"")</f>
        <v>1587</v>
      </c>
      <c r="Q109" s="79"/>
      <c r="Z109" s="107"/>
      <c r="AA109" s="107"/>
      <c r="AB109" s="107"/>
      <c r="AC109" s="107"/>
    </row>
    <row r="110" spans="2:29" x14ac:dyDescent="0.35">
      <c r="B110" s="168"/>
      <c r="C110" s="1" t="s">
        <v>249</v>
      </c>
      <c r="D110" s="153">
        <f>IFERROR(VLOOKUP(D$4,'Long stay'!$AF$4:$AN$17,5,FALSE),"")</f>
        <v>2602.4285714285716</v>
      </c>
      <c r="E110" s="153">
        <f>IFERROR(VLOOKUP(E$4,'Long stay'!$AF$4:$AN$17,5,FALSE),"")</f>
        <v>2632.1428571428573</v>
      </c>
      <c r="F110" s="153">
        <f>IFERROR(VLOOKUP(F$4,'Long stay'!$AF$4:$AN$17,5,FALSE),"")</f>
        <v>2611</v>
      </c>
      <c r="G110" s="153">
        <f>IFERROR(VLOOKUP(G$4,'Long stay'!$AF$4:$AN$17,5,FALSE),"")</f>
        <v>2443.7142857142858</v>
      </c>
      <c r="H110" s="153">
        <f>IFERROR(VLOOKUP(H$4,'Long stay'!$AF$4:$AN$17,5,FALSE),"")</f>
        <v>2514.5714285714284</v>
      </c>
      <c r="I110" s="153">
        <f>IFERROR(VLOOKUP(I$4,'Long stay'!$AF$4:$AN$17,5,FALSE),"")</f>
        <v>2842.4285714285716</v>
      </c>
      <c r="J110" s="153">
        <f>IFERROR(VLOOKUP(J$4,'Long stay'!$AF$4:$AN$17,5,FALSE),"")</f>
        <v>3035.2857142857142</v>
      </c>
      <c r="K110" s="153">
        <f>IFERROR(VLOOKUP(K$4,'Long stay'!$AF$4:$AN$17,5,FALSE),"")</f>
        <v>3134.2857142857142</v>
      </c>
      <c r="L110" s="153">
        <f>IFERROR(VLOOKUP(L$4,'Long stay'!$AF$4:$AN$17,5,FALSE),"")</f>
        <v>3087</v>
      </c>
      <c r="M110" s="153">
        <f>IFERROR(VLOOKUP(M$4,'Long stay'!$AF$4:$AN$17,5,FALSE),"")</f>
        <v>3039.1428571428573</v>
      </c>
      <c r="N110" s="153">
        <f>IFERROR(VLOOKUP(N$4,'Long stay'!$AF$4:$AN$17,5,FALSE),"")</f>
        <v>2870.8571428571427</v>
      </c>
      <c r="O110" s="153">
        <f>IFERROR(VLOOKUP(O$4,'Long stay'!$AF$4:$AN$17,5,FALSE),"")</f>
        <v>2847.5714285714284</v>
      </c>
      <c r="P110" s="153">
        <f>IFERROR(VLOOKUP(P$4,'Long stay'!$AF$4:$AN$17,5,FALSE),"")</f>
        <v>2916</v>
      </c>
      <c r="Q110" s="79"/>
      <c r="Z110" s="107"/>
      <c r="AA110" s="107"/>
      <c r="AB110" s="107"/>
      <c r="AC110" s="107"/>
    </row>
    <row r="111" spans="2:29" x14ac:dyDescent="0.35">
      <c r="B111" s="168"/>
      <c r="C111" s="1" t="s">
        <v>251</v>
      </c>
      <c r="D111" s="153">
        <f>IFERROR(VLOOKUP(D$4,'Long stay'!$AF$4:$AN$17,9,FALSE),"")</f>
        <v>2505.8571428571427</v>
      </c>
      <c r="E111" s="153">
        <f>IFERROR(VLOOKUP(E$4,'Long stay'!$AF$4:$AN$17,9,FALSE),"")</f>
        <v>2529.2857142857142</v>
      </c>
      <c r="F111" s="153">
        <f>IFERROR(VLOOKUP(F$4,'Long stay'!$AF$4:$AN$17,9,FALSE),"")</f>
        <v>2488</v>
      </c>
      <c r="G111" s="153">
        <f>IFERROR(VLOOKUP(G$4,'Long stay'!$AF$4:$AN$17,9,FALSE),"")</f>
        <v>2371.8571428571427</v>
      </c>
      <c r="H111" s="153">
        <f>IFERROR(VLOOKUP(H$4,'Long stay'!$AF$4:$AN$17,9,FALSE),"")</f>
        <v>2581.1428571428573</v>
      </c>
      <c r="I111" s="153">
        <f>IFERROR(VLOOKUP(I$4,'Long stay'!$AF$4:$AN$17,9,FALSE),"")</f>
        <v>2909</v>
      </c>
      <c r="J111" s="153">
        <f>IFERROR(VLOOKUP(J$4,'Long stay'!$AF$4:$AN$17,9,FALSE),"")</f>
        <v>3070.5714285714284</v>
      </c>
      <c r="K111" s="153">
        <f>IFERROR(VLOOKUP(K$4,'Long stay'!$AF$4:$AN$17,9,FALSE),"")</f>
        <v>3111.5714285714284</v>
      </c>
      <c r="L111" s="153">
        <f>IFERROR(VLOOKUP(L$4,'Long stay'!$AF$4:$AN$17,9,FALSE),"")</f>
        <v>3065.4285714285716</v>
      </c>
      <c r="M111" s="153">
        <f>IFERROR(VLOOKUP(M$4,'Long stay'!$AF$4:$AN$17,9,FALSE),"")</f>
        <v>3031.5714285714284</v>
      </c>
      <c r="N111" s="153">
        <f>IFERROR(VLOOKUP(N$4,'Long stay'!$AF$4:$AN$17,9,FALSE),"")</f>
        <v>3013.4285714285716</v>
      </c>
      <c r="O111" s="153">
        <f>IFERROR(VLOOKUP(O$4,'Long stay'!$AF$4:$AN$17,9,FALSE),"")</f>
        <v>2925</v>
      </c>
      <c r="P111" s="153">
        <f>IFERROR(VLOOKUP(P$4,'Long stay'!$AF$4:$AN$17,9,FALSE),"")</f>
        <v>2896.2857142857142</v>
      </c>
      <c r="Q111" s="79" t="str">
        <f>IFERROR(VLOOKUP(Q$4,'Long stay'!$AF$4:$AM$18,5,FALSE),"")</f>
        <v/>
      </c>
      <c r="Z111" s="49"/>
      <c r="AA111" s="49"/>
      <c r="AB111" s="49"/>
      <c r="AC111" s="49"/>
    </row>
    <row r="112" spans="2:29" x14ac:dyDescent="0.35">
      <c r="B112" s="168"/>
      <c r="C112" s="1" t="s">
        <v>217</v>
      </c>
      <c r="D112" s="153">
        <f>IFERROR(VLOOKUP(D$4,'Long stay'!$AF$4:$AN$17,6,FALSE),"")</f>
        <v>1927</v>
      </c>
      <c r="E112" s="153">
        <f>IFERROR(VLOOKUP(E$4,'Long stay'!$AF$4:$AN$17,6,FALSE),"")</f>
        <v>1957.4285714285713</v>
      </c>
      <c r="F112" s="153">
        <f>IFERROR(VLOOKUP(F$4,'Long stay'!$AF$4:$AN$17,6,FALSE),"")</f>
        <v>1999.5714285714287</v>
      </c>
      <c r="G112" s="153">
        <f>IFERROR(VLOOKUP(G$4,'Long stay'!$AF$4:$AN$17,6,FALSE),"")</f>
        <v>1892.1428571428571</v>
      </c>
      <c r="H112" s="153">
        <f>IFERROR(VLOOKUP(H$4,'Long stay'!$AF$4:$AN$17,6,FALSE),"")</f>
        <v>2032</v>
      </c>
      <c r="I112" s="153">
        <f>IFERROR(VLOOKUP(I$4,'Long stay'!$AF$4:$AN$17,6,FALSE),"")</f>
        <v>2281.5714285714284</v>
      </c>
      <c r="J112" s="153">
        <f>IFERROR(VLOOKUP(J$4,'Long stay'!$AF$4:$AN$17,6,FALSE),"")</f>
        <v>2294</v>
      </c>
      <c r="K112" s="153">
        <f>IFERROR(VLOOKUP(K$4,'Long stay'!$AF$4:$AN$17,6,FALSE),"")</f>
        <v>2283.2857142857142</v>
      </c>
      <c r="L112" s="153">
        <f>IFERROR(VLOOKUP(L$4,'Long stay'!$AF$4:$AN$17,6,FALSE),"")</f>
        <v>2229.2857142857142</v>
      </c>
      <c r="M112" s="153">
        <f>IFERROR(VLOOKUP(M$4,'Long stay'!$AF$4:$AN$17,6,FALSE),"")</f>
        <v>2245.1428571428573</v>
      </c>
      <c r="N112" s="153">
        <f>IFERROR(VLOOKUP(N$4,'Long stay'!$AF$4:$AN$17,6,FALSE),"")</f>
        <v>2260.1428571428573</v>
      </c>
      <c r="O112" s="153">
        <f>IFERROR(VLOOKUP(O$4,'Long stay'!$AF$4:$AN$17,6,FALSE),"")</f>
        <v>2296.1428571428573</v>
      </c>
      <c r="P112" s="153">
        <f>IFERROR(VLOOKUP(P$4,'Long stay'!$AF$4:$AN$17,6,FALSE),"")</f>
        <v>2287.1428571428573</v>
      </c>
      <c r="Q112" s="79" t="str">
        <f>IFERROR(VLOOKUP(Q$4,'Long stay'!$AF$4:$AM$18,6,FALSE),"")</f>
        <v/>
      </c>
      <c r="Z112" s="49"/>
      <c r="AA112" s="49"/>
      <c r="AB112" s="49"/>
      <c r="AC112" s="49"/>
    </row>
    <row r="113" spans="2:29" x14ac:dyDescent="0.35">
      <c r="B113" s="168"/>
      <c r="C113" s="11" t="s">
        <v>218</v>
      </c>
      <c r="D113" s="153">
        <f>IFERROR(VLOOKUP(D$4,'Long stay'!$AF$4:$AN$17,7,FALSE),"")</f>
        <v>1809.4285714285713</v>
      </c>
      <c r="E113" s="153">
        <f>IFERROR(VLOOKUP(E$4,'Long stay'!$AF$4:$AN$17,7,FALSE),"")</f>
        <v>1819.8571428571429</v>
      </c>
      <c r="F113" s="153">
        <f>IFERROR(VLOOKUP(F$4,'Long stay'!$AF$4:$AN$17,7,FALSE),"")</f>
        <v>1833.5714285714287</v>
      </c>
      <c r="G113" s="153">
        <f>IFERROR(VLOOKUP(G$4,'Long stay'!$AF$4:$AN$17,7,FALSE),"")</f>
        <v>1721.2857142857142</v>
      </c>
      <c r="H113" s="153">
        <f>IFERROR(VLOOKUP(H$4,'Long stay'!$AF$4:$AN$17,7,FALSE),"")</f>
        <v>1821.2857142857142</v>
      </c>
      <c r="I113" s="153">
        <f>IFERROR(VLOOKUP(I$4,'Long stay'!$AF$4:$AN$17,7,FALSE),"")</f>
        <v>1964.4285714285713</v>
      </c>
      <c r="J113" s="153">
        <f>IFERROR(VLOOKUP(J$4,'Long stay'!$AF$4:$AN$17,7,FALSE),"")</f>
        <v>2038.2857142857142</v>
      </c>
      <c r="K113" s="153">
        <f>IFERROR(VLOOKUP(K$4,'Long stay'!$AF$4:$AN$17,7,FALSE),"")</f>
        <v>2075.8571428571427</v>
      </c>
      <c r="L113" s="153">
        <f>IFERROR(VLOOKUP(L$4,'Long stay'!$AF$4:$AN$17,7,FALSE),"")</f>
        <v>2044.4285714285713</v>
      </c>
      <c r="M113" s="153">
        <f>IFERROR(VLOOKUP(M$4,'Long stay'!$AF$4:$AN$17,7,FALSE),"")</f>
        <v>2060</v>
      </c>
      <c r="N113" s="153">
        <f>IFERROR(VLOOKUP(N$4,'Long stay'!$AF$4:$AN$17,7,FALSE),"")</f>
        <v>2050.2857142857142</v>
      </c>
      <c r="O113" s="153">
        <f>IFERROR(VLOOKUP(O$4,'Long stay'!$AF$4:$AN$17,7,FALSE),"")</f>
        <v>2011.5714285714287</v>
      </c>
      <c r="P113" s="153">
        <f>IFERROR(VLOOKUP(P$4,'Long stay'!$AF$4:$AN$17,7,FALSE),"")</f>
        <v>2089.1428571428573</v>
      </c>
      <c r="Q113" s="79" t="str">
        <f>IFERROR(VLOOKUP(Q$4,'Long stay'!$AF$4:$AM$18,7,FALSE),"")</f>
        <v/>
      </c>
      <c r="Z113" s="49"/>
      <c r="AA113" s="49"/>
      <c r="AB113" s="49"/>
      <c r="AC113" s="49"/>
    </row>
    <row r="114" spans="2:29" ht="30" customHeight="1" x14ac:dyDescent="0.35">
      <c r="C114" s="1"/>
      <c r="D114" s="57"/>
      <c r="E114" s="57"/>
      <c r="F114" s="57"/>
      <c r="G114" s="57"/>
      <c r="H114" s="57"/>
      <c r="I114" s="57"/>
      <c r="J114" s="57"/>
      <c r="K114" s="57"/>
      <c r="L114" s="57"/>
      <c r="M114" s="57"/>
      <c r="N114" s="57"/>
      <c r="O114" s="57"/>
      <c r="P114" s="57"/>
      <c r="Q114" s="57"/>
      <c r="R114" s="42"/>
    </row>
    <row r="115" spans="2:29" ht="15" customHeight="1" x14ac:dyDescent="0.35">
      <c r="B115" s="168" t="s">
        <v>11</v>
      </c>
      <c r="C115" s="13" t="s">
        <v>12</v>
      </c>
      <c r="D115" s="122">
        <v>1025.7142857142858</v>
      </c>
      <c r="E115" s="122">
        <v>892.42857142857144</v>
      </c>
      <c r="F115" s="122">
        <v>799</v>
      </c>
      <c r="G115" s="122">
        <v>447.85714285714283</v>
      </c>
      <c r="H115" s="122">
        <v>554.57142857142856</v>
      </c>
      <c r="I115" s="122">
        <v>804.28571428571433</v>
      </c>
      <c r="J115" s="122">
        <v>626.71428571428567</v>
      </c>
      <c r="K115" s="122">
        <v>773.42857142857144</v>
      </c>
      <c r="L115" s="122">
        <v>775</v>
      </c>
      <c r="M115" s="122">
        <v>657</v>
      </c>
      <c r="N115" s="122">
        <v>578.57142857142856</v>
      </c>
      <c r="O115" s="122">
        <v>507</v>
      </c>
      <c r="P115" s="122">
        <v>608.14285714285711</v>
      </c>
      <c r="Z115" s="169" t="s">
        <v>28</v>
      </c>
      <c r="AA115" s="169"/>
      <c r="AB115" s="169"/>
      <c r="AC115" s="169"/>
    </row>
    <row r="116" spans="2:29" ht="15" customHeight="1" x14ac:dyDescent="0.35">
      <c r="B116" s="168"/>
      <c r="C116" s="1" t="s">
        <v>283</v>
      </c>
      <c r="D116" s="128">
        <v>58.285714285714285</v>
      </c>
      <c r="E116" s="128">
        <v>49.857142857142854</v>
      </c>
      <c r="F116" s="128">
        <v>68</v>
      </c>
      <c r="G116" s="128">
        <v>45.714285714285715</v>
      </c>
      <c r="H116" s="128">
        <v>49.714285714285715</v>
      </c>
      <c r="I116" s="128">
        <v>76.428571428571431</v>
      </c>
      <c r="J116" s="128">
        <v>21.571428571428573</v>
      </c>
      <c r="K116" s="128">
        <v>17.428571428571427</v>
      </c>
      <c r="L116" s="128">
        <v>28.142857142857142</v>
      </c>
      <c r="M116" s="128">
        <v>35.714285714285715</v>
      </c>
      <c r="N116" s="128">
        <v>26.714285714285715</v>
      </c>
      <c r="O116" s="128">
        <v>23.714285714285715</v>
      </c>
      <c r="P116" s="128">
        <v>26.285714285714285</v>
      </c>
      <c r="Z116" s="169"/>
      <c r="AA116" s="169"/>
      <c r="AB116" s="169"/>
      <c r="AC116" s="169"/>
    </row>
    <row r="117" spans="2:29" ht="7.5" customHeight="1" x14ac:dyDescent="0.35">
      <c r="B117" s="168"/>
      <c r="C117" s="1"/>
      <c r="Z117" s="169"/>
      <c r="AA117" s="169"/>
      <c r="AB117" s="169"/>
      <c r="AC117" s="169"/>
    </row>
    <row r="118" spans="2:29" x14ac:dyDescent="0.35">
      <c r="B118" s="168"/>
      <c r="C118" s="16" t="s">
        <v>295</v>
      </c>
      <c r="D118" s="60">
        <f>IFERROR(VLOOKUP(D$4,'D&amp;V'!$R$3:$Z$16,2,FALSE),"")</f>
        <v>216.85714285714286</v>
      </c>
      <c r="E118" s="110">
        <f>IFERROR(VLOOKUP(E$4,'D&amp;V'!$R$3:$Z$16,2,FALSE),"")</f>
        <v>271.28571428571428</v>
      </c>
      <c r="F118" s="110">
        <f>IFERROR(VLOOKUP(F$4,'D&amp;V'!$R$3:$Z$16,2,FALSE),"")</f>
        <v>317.85714285714283</v>
      </c>
      <c r="G118" s="110">
        <f>IFERROR(VLOOKUP(G$4,'D&amp;V'!$R$3:$Z$16,2,FALSE),"")</f>
        <v>273</v>
      </c>
      <c r="H118" s="110">
        <f>IFERROR(VLOOKUP(H$4,'D&amp;V'!$R$3:$Z$16,2,FALSE),"")</f>
        <v>282.85714285714283</v>
      </c>
      <c r="I118" s="110">
        <f>IFERROR(VLOOKUP(I$4,'D&amp;V'!$R$3:$Z$16,2,FALSE),"")</f>
        <v>159.57142857142858</v>
      </c>
      <c r="J118" s="110">
        <f>IFERROR(VLOOKUP(J$4,'D&amp;V'!$R$3:$Z$16,2,FALSE),"")</f>
        <v>107</v>
      </c>
      <c r="K118" s="110">
        <f>IFERROR(VLOOKUP(K$4,'D&amp;V'!$R$3:$Z$16,2,FALSE),"")</f>
        <v>241.28571428571428</v>
      </c>
      <c r="L118" s="110">
        <f>IFERROR(VLOOKUP(L$4,'D&amp;V'!$R$3:$Z$16,2,FALSE),"")</f>
        <v>413.14285714285717</v>
      </c>
      <c r="M118" s="110">
        <f>IFERROR(VLOOKUP(M$4,'D&amp;V'!$R$3:$Z$16,2,FALSE),"")</f>
        <v>382.14285714285717</v>
      </c>
      <c r="N118" s="110">
        <f>IFERROR(VLOOKUP(N$4,'D&amp;V'!$R$3:$Z$16,2,FALSE),"")</f>
        <v>226.42857142857142</v>
      </c>
      <c r="O118" s="110">
        <f>IFERROR(VLOOKUP(O$4,'D&amp;V'!$R$3:$Z$16,2,FALSE),"")</f>
        <v>203.14285714285714</v>
      </c>
      <c r="P118" s="110">
        <f>IFERROR(VLOOKUP(P$4,'D&amp;V'!$R$3:$Z$16,2,FALSE),"")</f>
        <v>219.85714285714286</v>
      </c>
      <c r="Q118" s="78" t="str">
        <f>IFERROR(VLOOKUP(Q$4,'D&amp;V'!$R$3:$Y$17,2,FALSE),"")</f>
        <v/>
      </c>
      <c r="Z118" s="169"/>
      <c r="AA118" s="169"/>
      <c r="AB118" s="169"/>
      <c r="AC118" s="169"/>
    </row>
    <row r="119" spans="2:29" x14ac:dyDescent="0.35">
      <c r="B119" s="168"/>
      <c r="C119" s="1" t="s">
        <v>1</v>
      </c>
      <c r="D119" s="153">
        <f>IFERROR(VLOOKUP(D$4,'D&amp;V'!$R$3:$Z$16,3,FALSE),"")</f>
        <v>7</v>
      </c>
      <c r="E119" s="153">
        <f>IFERROR(VLOOKUP(E$4,'D&amp;V'!$R$3:$Z$16,3,FALSE),"")</f>
        <v>12.285714285714286</v>
      </c>
      <c r="F119" s="153">
        <f>IFERROR(VLOOKUP(F$4,'D&amp;V'!$R$3:$Z$16,3,FALSE),"")</f>
        <v>15.714285714285714</v>
      </c>
      <c r="G119" s="153">
        <f>IFERROR(VLOOKUP(G$4,'D&amp;V'!$R$3:$Z$16,3,FALSE),"")</f>
        <v>4.7142857142857144</v>
      </c>
      <c r="H119" s="153">
        <f>IFERROR(VLOOKUP(H$4,'D&amp;V'!$R$3:$Z$16,3,FALSE),"")</f>
        <v>0.2857142857142857</v>
      </c>
      <c r="I119" s="153">
        <f>IFERROR(VLOOKUP(I$4,'D&amp;V'!$R$3:$Z$16,3,FALSE),"")</f>
        <v>1.7142857142857142</v>
      </c>
      <c r="J119" s="153">
        <f>IFERROR(VLOOKUP(J$4,'D&amp;V'!$R$3:$Z$16,3,FALSE),"")</f>
        <v>0</v>
      </c>
      <c r="K119" s="153">
        <f>IFERROR(VLOOKUP(K$4,'D&amp;V'!$R$3:$Z$16,3,FALSE),"")</f>
        <v>0.7142857142857143</v>
      </c>
      <c r="L119" s="153">
        <f>IFERROR(VLOOKUP(L$4,'D&amp;V'!$R$3:$Z$16,3,FALSE),"")</f>
        <v>2</v>
      </c>
      <c r="M119" s="153">
        <f>IFERROR(VLOOKUP(M$4,'D&amp;V'!$R$3:$Z$16,3,FALSE),"")</f>
        <v>20.571428571428573</v>
      </c>
      <c r="N119" s="153">
        <f>IFERROR(VLOOKUP(N$4,'D&amp;V'!$R$3:$Z$16,3,FALSE),"")</f>
        <v>22.428571428571427</v>
      </c>
      <c r="O119" s="153">
        <f>IFERROR(VLOOKUP(O$4,'D&amp;V'!$R$3:$Z$16,3,FALSE),"")</f>
        <v>6.2857142857142856</v>
      </c>
      <c r="P119" s="153">
        <f>IFERROR(VLOOKUP(P$4,'D&amp;V'!$R$3:$Z$16,3,FALSE),"")</f>
        <v>1.1428571428571428</v>
      </c>
      <c r="Q119" s="79" t="str">
        <f>IFERROR(VLOOKUP(Q$4,'D&amp;V'!$R$3:$Y$17,3,FALSE),"")</f>
        <v/>
      </c>
      <c r="Z119" s="15"/>
      <c r="AA119" s="15"/>
      <c r="AB119" s="15"/>
      <c r="AC119" s="15"/>
    </row>
    <row r="120" spans="2:29" x14ac:dyDescent="0.35">
      <c r="B120" s="168"/>
      <c r="C120" s="1" t="s">
        <v>220</v>
      </c>
      <c r="D120" s="153">
        <f>IFERROR(VLOOKUP(D$4,'D&amp;V'!$R$3:$Z$16,4,FALSE),"")</f>
        <v>10.714285714285714</v>
      </c>
      <c r="E120" s="153">
        <f>IFERROR(VLOOKUP(E$4,'D&amp;V'!$R$3:$Z$16,4,FALSE),"")</f>
        <v>25.571428571428573</v>
      </c>
      <c r="F120" s="153">
        <f>IFERROR(VLOOKUP(F$4,'D&amp;V'!$R$3:$Z$16,4,FALSE),"")</f>
        <v>22.571428571428573</v>
      </c>
      <c r="G120" s="153">
        <f>IFERROR(VLOOKUP(G$4,'D&amp;V'!$R$3:$Z$16,4,FALSE),"")</f>
        <v>8.7142857142857135</v>
      </c>
      <c r="H120" s="153">
        <f>IFERROR(VLOOKUP(H$4,'D&amp;V'!$R$3:$Z$16,4,FALSE),"")</f>
        <v>13.857142857142858</v>
      </c>
      <c r="I120" s="153">
        <f>IFERROR(VLOOKUP(I$4,'D&amp;V'!$R$3:$Z$16,4,FALSE),"")</f>
        <v>14.428571428571429</v>
      </c>
      <c r="J120" s="153">
        <f>IFERROR(VLOOKUP(J$4,'D&amp;V'!$R$3:$Z$16,4,FALSE),"")</f>
        <v>7.1428571428571432</v>
      </c>
      <c r="K120" s="153">
        <f>IFERROR(VLOOKUP(K$4,'D&amp;V'!$R$3:$Z$16,4,FALSE),"")</f>
        <v>12.285714285714286</v>
      </c>
      <c r="L120" s="153">
        <f>IFERROR(VLOOKUP(L$4,'D&amp;V'!$R$3:$Z$16,4,FALSE),"")</f>
        <v>105.14285714285714</v>
      </c>
      <c r="M120" s="153">
        <f>IFERROR(VLOOKUP(M$4,'D&amp;V'!$R$3:$Z$16,4,FALSE),"")</f>
        <v>130.71428571428572</v>
      </c>
      <c r="N120" s="153">
        <f>IFERROR(VLOOKUP(N$4,'D&amp;V'!$R$3:$Z$16,4,FALSE),"")</f>
        <v>119.28571428571429</v>
      </c>
      <c r="O120" s="153">
        <f>IFERROR(VLOOKUP(O$4,'D&amp;V'!$R$3:$Z$16,4,FALSE),"")</f>
        <v>97.571428571428569</v>
      </c>
      <c r="P120" s="153">
        <f>IFERROR(VLOOKUP(P$4,'D&amp;V'!$R$3:$Z$16,4,FALSE),"")</f>
        <v>65</v>
      </c>
      <c r="Q120" s="79" t="str">
        <f>IFERROR(VLOOKUP(Q$4,'D&amp;V'!$R$3:$Y$17,4,FALSE),"")</f>
        <v/>
      </c>
      <c r="Z120" s="173" t="s">
        <v>322</v>
      </c>
      <c r="AA120" s="173"/>
      <c r="AB120" s="173"/>
      <c r="AC120" s="173"/>
    </row>
    <row r="121" spans="2:29" x14ac:dyDescent="0.35">
      <c r="B121" s="168"/>
      <c r="C121" s="1" t="s">
        <v>248</v>
      </c>
      <c r="D121" s="153">
        <f>IFERROR(VLOOKUP(D$4,'D&amp;V'!$R$3:$Z$16,8,FALSE),"")</f>
        <v>6.5714285714285712</v>
      </c>
      <c r="E121" s="153">
        <f>IFERROR(VLOOKUP(E$4,'D&amp;V'!$R$3:$Z$16,8,FALSE),"")</f>
        <v>6</v>
      </c>
      <c r="F121" s="153">
        <f>IFERROR(VLOOKUP(F$4,'D&amp;V'!$R$3:$Z$16,8,FALSE),"")</f>
        <v>17</v>
      </c>
      <c r="G121" s="153">
        <f>IFERROR(VLOOKUP(G$4,'D&amp;V'!$R$3:$Z$16,8,FALSE),"")</f>
        <v>36</v>
      </c>
      <c r="H121" s="153">
        <f>IFERROR(VLOOKUP(H$4,'D&amp;V'!$R$3:$Z$16,8,FALSE),"")</f>
        <v>94.714285714285708</v>
      </c>
      <c r="I121" s="153">
        <f>IFERROR(VLOOKUP(I$4,'D&amp;V'!$R$3:$Z$16,8,FALSE),"")</f>
        <v>22.428571428571427</v>
      </c>
      <c r="J121" s="153">
        <f>IFERROR(VLOOKUP(J$4,'D&amp;V'!$R$3:$Z$16,8,FALSE),"")</f>
        <v>12.285714285714286</v>
      </c>
      <c r="K121" s="153">
        <f>IFERROR(VLOOKUP(K$4,'D&amp;V'!$R$3:$Z$16,8,FALSE),"")</f>
        <v>8</v>
      </c>
      <c r="L121" s="153">
        <f>IFERROR(VLOOKUP(L$4,'D&amp;V'!$R$3:$Z$16,8,FALSE),"")</f>
        <v>5.1428571428571432</v>
      </c>
      <c r="M121" s="153">
        <f>IFERROR(VLOOKUP(M$4,'D&amp;V'!$R$3:$Z$16,8,FALSE),"")</f>
        <v>5.2857142857142856</v>
      </c>
      <c r="N121" s="153">
        <f>IFERROR(VLOOKUP(N$4,'D&amp;V'!$R$3:$Z$16,8,FALSE),"")</f>
        <v>2.8571428571428572</v>
      </c>
      <c r="O121" s="153">
        <f>IFERROR(VLOOKUP(O$4,'D&amp;V'!$R$3:$Z$16,8,FALSE),"")</f>
        <v>3.2857142857142856</v>
      </c>
      <c r="P121" s="153">
        <f>IFERROR(VLOOKUP(P$4,'D&amp;V'!$R$3:$Z$16,8,FALSE),"")</f>
        <v>2.8571428571428572</v>
      </c>
      <c r="Q121" s="79"/>
      <c r="Z121" s="173"/>
      <c r="AA121" s="173"/>
      <c r="AB121" s="173"/>
      <c r="AC121" s="173"/>
    </row>
    <row r="122" spans="2:29" x14ac:dyDescent="0.35">
      <c r="B122" s="168"/>
      <c r="C122" s="1" t="s">
        <v>249</v>
      </c>
      <c r="D122" s="153">
        <f>IFERROR(VLOOKUP(D$4,'D&amp;V'!$R$3:$Z$16,5,FALSE),"")</f>
        <v>34.571428571428569</v>
      </c>
      <c r="E122" s="153">
        <f>IFERROR(VLOOKUP(E$4,'D&amp;V'!$R$3:$Z$16,5,FALSE),"")</f>
        <v>85.285714285714292</v>
      </c>
      <c r="F122" s="153">
        <f>IFERROR(VLOOKUP(F$4,'D&amp;V'!$R$3:$Z$16,5,FALSE),"")</f>
        <v>140.71428571428572</v>
      </c>
      <c r="G122" s="153">
        <f>IFERROR(VLOOKUP(G$4,'D&amp;V'!$R$3:$Z$16,5,FALSE),"")</f>
        <v>134.28571428571428</v>
      </c>
      <c r="H122" s="153">
        <f>IFERROR(VLOOKUP(H$4,'D&amp;V'!$R$3:$Z$16,5,FALSE),"")</f>
        <v>118.57142857142857</v>
      </c>
      <c r="I122" s="153">
        <f>IFERROR(VLOOKUP(I$4,'D&amp;V'!$R$3:$Z$16,5,FALSE),"")</f>
        <v>98.142857142857139</v>
      </c>
      <c r="J122" s="153">
        <f>IFERROR(VLOOKUP(J$4,'D&amp;V'!$R$3:$Z$16,5,FALSE),"")</f>
        <v>27.142857142857142</v>
      </c>
      <c r="K122" s="153">
        <f>IFERROR(VLOOKUP(K$4,'D&amp;V'!$R$3:$Z$16,5,FALSE),"")</f>
        <v>58.142857142857146</v>
      </c>
      <c r="L122" s="153">
        <f>IFERROR(VLOOKUP(L$4,'D&amp;V'!$R$3:$Z$16,5,FALSE),"")</f>
        <v>88.857142857142861</v>
      </c>
      <c r="M122" s="153">
        <f>IFERROR(VLOOKUP(M$4,'D&amp;V'!$R$3:$Z$16,5,FALSE),"")</f>
        <v>62.428571428571431</v>
      </c>
      <c r="N122" s="153">
        <f>IFERROR(VLOOKUP(N$4,'D&amp;V'!$R$3:$Z$16,5,FALSE),"")</f>
        <v>29.857142857142858</v>
      </c>
      <c r="O122" s="153">
        <f>IFERROR(VLOOKUP(O$4,'D&amp;V'!$R$3:$Z$16,5,FALSE),"")</f>
        <v>29</v>
      </c>
      <c r="P122" s="153">
        <f>IFERROR(VLOOKUP(P$4,'D&amp;V'!$R$3:$Z$16,5,FALSE),"")</f>
        <v>56.428571428571431</v>
      </c>
      <c r="Q122" s="79"/>
      <c r="Z122" s="173"/>
      <c r="AA122" s="173"/>
      <c r="AB122" s="173"/>
      <c r="AC122" s="173"/>
    </row>
    <row r="123" spans="2:29" x14ac:dyDescent="0.35">
      <c r="B123" s="168"/>
      <c r="C123" s="1" t="s">
        <v>251</v>
      </c>
      <c r="D123" s="153">
        <f>IFERROR(VLOOKUP(D$4,'D&amp;V'!$R$3:$Z$16,9,FALSE),"")</f>
        <v>58.714285714285715</v>
      </c>
      <c r="E123" s="153">
        <f>IFERROR(VLOOKUP(E$4,'D&amp;V'!$R$3:$Z$16,9,FALSE),"")</f>
        <v>49.857142857142854</v>
      </c>
      <c r="F123" s="153">
        <f>IFERROR(VLOOKUP(F$4,'D&amp;V'!$R$3:$Z$16,9,FALSE),"")</f>
        <v>28.285714285714285</v>
      </c>
      <c r="G123" s="153">
        <f>IFERROR(VLOOKUP(G$4,'D&amp;V'!$R$3:$Z$16,9,FALSE),"")</f>
        <v>31.571428571428573</v>
      </c>
      <c r="H123" s="153">
        <f>IFERROR(VLOOKUP(H$4,'D&amp;V'!$R$3:$Z$16,9,FALSE),"")</f>
        <v>19.142857142857142</v>
      </c>
      <c r="I123" s="153">
        <f>IFERROR(VLOOKUP(I$4,'D&amp;V'!$R$3:$Z$16,9,FALSE),"")</f>
        <v>15.571428571428571</v>
      </c>
      <c r="J123" s="153">
        <f>IFERROR(VLOOKUP(J$4,'D&amp;V'!$R$3:$Z$16,9,FALSE),"")</f>
        <v>26.285714285714285</v>
      </c>
      <c r="K123" s="153">
        <f>IFERROR(VLOOKUP(K$4,'D&amp;V'!$R$3:$Z$16,9,FALSE),"")</f>
        <v>46.142857142857146</v>
      </c>
      <c r="L123" s="153">
        <f>IFERROR(VLOOKUP(L$4,'D&amp;V'!$R$3:$Z$16,9,FALSE),"")</f>
        <v>113.57142857142857</v>
      </c>
      <c r="M123" s="153">
        <f>IFERROR(VLOOKUP(M$4,'D&amp;V'!$R$3:$Z$16,9,FALSE),"")</f>
        <v>64</v>
      </c>
      <c r="N123" s="153">
        <f>IFERROR(VLOOKUP(N$4,'D&amp;V'!$R$3:$Z$16,9,FALSE),"")</f>
        <v>18.714285714285715</v>
      </c>
      <c r="O123" s="153">
        <f>IFERROR(VLOOKUP(O$4,'D&amp;V'!$R$3:$Z$16,9,FALSE),"")</f>
        <v>24.857142857142858</v>
      </c>
      <c r="P123" s="153">
        <f>IFERROR(VLOOKUP(P$4,'D&amp;V'!$R$3:$Z$16,9,FALSE),"")</f>
        <v>22</v>
      </c>
      <c r="Q123" s="79" t="str">
        <f>IFERROR(VLOOKUP(Q$4,'D&amp;V'!$R$3:$Y$17,5,FALSE),"")</f>
        <v/>
      </c>
      <c r="Z123" s="173"/>
      <c r="AA123" s="173"/>
      <c r="AB123" s="173"/>
      <c r="AC123" s="173"/>
    </row>
    <row r="124" spans="2:29" x14ac:dyDescent="0.35">
      <c r="B124" s="168"/>
      <c r="C124" s="1" t="s">
        <v>217</v>
      </c>
      <c r="D124" s="153">
        <f>IFERROR(VLOOKUP(D$4,'D&amp;V'!$R$3:$Z$16,6,FALSE),"")</f>
        <v>44.142857142857146</v>
      </c>
      <c r="E124" s="153">
        <f>IFERROR(VLOOKUP(E$4,'D&amp;V'!$R$3:$Z$16,6,FALSE),"")</f>
        <v>56.428571428571431</v>
      </c>
      <c r="F124" s="153">
        <f>IFERROR(VLOOKUP(F$4,'D&amp;V'!$R$3:$Z$16,6,FALSE),"")</f>
        <v>54.714285714285715</v>
      </c>
      <c r="G124" s="153">
        <f>IFERROR(VLOOKUP(G$4,'D&amp;V'!$R$3:$Z$16,6,FALSE),"")</f>
        <v>37.571428571428569</v>
      </c>
      <c r="H124" s="153">
        <f>IFERROR(VLOOKUP(H$4,'D&amp;V'!$R$3:$Z$16,6,FALSE),"")</f>
        <v>25.857142857142858</v>
      </c>
      <c r="I124" s="153">
        <f>IFERROR(VLOOKUP(I$4,'D&amp;V'!$R$3:$Z$16,6,FALSE),"")</f>
        <v>5</v>
      </c>
      <c r="J124" s="153">
        <f>IFERROR(VLOOKUP(J$4,'D&amp;V'!$R$3:$Z$16,6,FALSE),"")</f>
        <v>18.714285714285715</v>
      </c>
      <c r="K124" s="153">
        <f>IFERROR(VLOOKUP(K$4,'D&amp;V'!$R$3:$Z$16,6,FALSE),"")</f>
        <v>39.714285714285715</v>
      </c>
      <c r="L124" s="153">
        <f>IFERROR(VLOOKUP(L$4,'D&amp;V'!$R$3:$Z$16,6,FALSE),"")</f>
        <v>50.428571428571431</v>
      </c>
      <c r="M124" s="153">
        <f>IFERROR(VLOOKUP(M$4,'D&amp;V'!$R$3:$Z$16,6,FALSE),"")</f>
        <v>50.142857142857146</v>
      </c>
      <c r="N124" s="153">
        <f>IFERROR(VLOOKUP(N$4,'D&amp;V'!$R$3:$Z$16,6,FALSE),"")</f>
        <v>17.857142857142858</v>
      </c>
      <c r="O124" s="153">
        <f>IFERROR(VLOOKUP(O$4,'D&amp;V'!$R$3:$Z$16,6,FALSE),"")</f>
        <v>26.142857142857142</v>
      </c>
      <c r="P124" s="153">
        <f>IFERROR(VLOOKUP(P$4,'D&amp;V'!$R$3:$Z$16,6,FALSE),"")</f>
        <v>9.1428571428571423</v>
      </c>
      <c r="Q124" s="79" t="str">
        <f>IFERROR(VLOOKUP(Q$4,'D&amp;V'!$R$3:$Y$17,6,FALSE),"")</f>
        <v/>
      </c>
      <c r="Z124" s="173"/>
      <c r="AA124" s="173"/>
      <c r="AB124" s="173"/>
      <c r="AC124" s="173"/>
    </row>
    <row r="125" spans="2:29" x14ac:dyDescent="0.35">
      <c r="B125" s="168"/>
      <c r="C125" s="11" t="s">
        <v>222</v>
      </c>
      <c r="D125" s="153">
        <f>IFERROR(VLOOKUP(D$4,'D&amp;V'!$R$3:$Z$16,7,FALSE),"")</f>
        <v>55.142857142857146</v>
      </c>
      <c r="E125" s="153">
        <f>IFERROR(VLOOKUP(E$4,'D&amp;V'!$R$3:$Z$16,7,FALSE),"")</f>
        <v>35.857142857142854</v>
      </c>
      <c r="F125" s="153">
        <f>IFERROR(VLOOKUP(F$4,'D&amp;V'!$R$3:$Z$16,7,FALSE),"")</f>
        <v>38.857142857142854</v>
      </c>
      <c r="G125" s="153">
        <f>IFERROR(VLOOKUP(G$4,'D&amp;V'!$R$3:$Z$16,7,FALSE),"")</f>
        <v>20.142857142857142</v>
      </c>
      <c r="H125" s="153">
        <f>IFERROR(VLOOKUP(H$4,'D&amp;V'!$R$3:$Z$16,7,FALSE),"")</f>
        <v>10.428571428571429</v>
      </c>
      <c r="I125" s="153">
        <f>IFERROR(VLOOKUP(I$4,'D&amp;V'!$R$3:$Z$16,7,FALSE),"")</f>
        <v>2.2857142857142856</v>
      </c>
      <c r="J125" s="153">
        <f>IFERROR(VLOOKUP(J$4,'D&amp;V'!$R$3:$Z$16,7,FALSE),"")</f>
        <v>15.428571428571429</v>
      </c>
      <c r="K125" s="153">
        <f>IFERROR(VLOOKUP(K$4,'D&amp;V'!$R$3:$Z$16,7,FALSE),"")</f>
        <v>76.285714285714292</v>
      </c>
      <c r="L125" s="153">
        <f>IFERROR(VLOOKUP(L$4,'D&amp;V'!$R$3:$Z$16,7,FALSE),"")</f>
        <v>48</v>
      </c>
      <c r="M125" s="153">
        <f>IFERROR(VLOOKUP(M$4,'D&amp;V'!$R$3:$Z$16,7,FALSE),"")</f>
        <v>49</v>
      </c>
      <c r="N125" s="153">
        <f>IFERROR(VLOOKUP(N$4,'D&amp;V'!$R$3:$Z$16,7,FALSE),"")</f>
        <v>15.428571428571429</v>
      </c>
      <c r="O125" s="153">
        <f>IFERROR(VLOOKUP(O$4,'D&amp;V'!$R$3:$Z$16,7,FALSE),"")</f>
        <v>16</v>
      </c>
      <c r="P125" s="153">
        <f>IFERROR(VLOOKUP(P$4,'D&amp;V'!$R$3:$Z$16,7,FALSE),"")</f>
        <v>63.285714285714285</v>
      </c>
      <c r="Q125" s="79" t="str">
        <f>IFERROR(VLOOKUP(Q$4,'D&amp;V'!$R$3:$Y$17,7,FALSE),"")</f>
        <v/>
      </c>
      <c r="Z125" s="173"/>
      <c r="AA125" s="173"/>
      <c r="AB125" s="173"/>
      <c r="AC125" s="173"/>
    </row>
    <row r="126" spans="2:29" ht="7.5" customHeight="1" x14ac:dyDescent="0.35">
      <c r="B126" s="168"/>
      <c r="Z126" s="173"/>
      <c r="AA126" s="173"/>
      <c r="AB126" s="173"/>
      <c r="AC126" s="173"/>
    </row>
    <row r="127" spans="2:29" x14ac:dyDescent="0.35">
      <c r="B127" s="168"/>
      <c r="C127" s="11" t="s">
        <v>29</v>
      </c>
      <c r="D127" s="59">
        <f>HLOOKUP(D4,'D&amp;V'!AC142:AP143,2,FALSE)</f>
        <v>27</v>
      </c>
      <c r="E127" s="59">
        <f>HLOOKUP(E4,'D&amp;V'!AD142:AQ143,2,FALSE)</f>
        <v>36</v>
      </c>
      <c r="F127" s="59">
        <f>HLOOKUP(F4,'D&amp;V'!AE142:AQ143,2,FALSE)</f>
        <v>40</v>
      </c>
      <c r="G127" s="59">
        <f>HLOOKUP(G4,'D&amp;V'!AF142:AQ143,2,FALSE)</f>
        <v>33</v>
      </c>
      <c r="H127" s="59">
        <f>HLOOKUP(H4,'D&amp;V'!AG142:AQ143,2,FALSE)</f>
        <v>29</v>
      </c>
      <c r="I127" s="59">
        <f>HLOOKUP(I4,'D&amp;V'!AH142:AQ143,2,FALSE)</f>
        <v>26</v>
      </c>
      <c r="J127" s="59">
        <f>HLOOKUP(J4,'D&amp;V'!AI142:AR143,2,FALSE)</f>
        <v>30</v>
      </c>
      <c r="K127" s="59">
        <f>HLOOKUP(K4,'D&amp;V'!AJ142:AS143,2,FALSE)</f>
        <v>25</v>
      </c>
      <c r="L127" s="59">
        <f>HLOOKUP(L4,'D&amp;V'!AK142:AT143,2,FALSE)</f>
        <v>29</v>
      </c>
      <c r="M127" s="59">
        <f>HLOOKUP(M4,'D&amp;V'!AL142:AU143,2,FALSE)</f>
        <v>29</v>
      </c>
      <c r="N127" s="59">
        <f>HLOOKUP(N4,'D&amp;V'!AM142:AV143,2,FALSE)</f>
        <v>29</v>
      </c>
      <c r="O127" s="59">
        <f>HLOOKUP(O4,'D&amp;V'!AN142:AW143,2,FALSE)</f>
        <v>31</v>
      </c>
      <c r="P127" s="59">
        <f>HLOOKUP(P4,'D&amp;V'!AO142:AW143,2,FALSE)</f>
        <v>33</v>
      </c>
      <c r="Q127" s="87"/>
      <c r="Z127" s="173"/>
      <c r="AA127" s="173"/>
      <c r="AB127" s="173"/>
      <c r="AC127" s="173"/>
    </row>
    <row r="128" spans="2:29" ht="7.5" customHeight="1" x14ac:dyDescent="0.35">
      <c r="B128" s="168"/>
      <c r="C128" s="1"/>
      <c r="Q128" s="83"/>
      <c r="Z128" s="173"/>
      <c r="AA128" s="173"/>
      <c r="AB128" s="173"/>
      <c r="AC128" s="173"/>
    </row>
    <row r="129" spans="2:29" x14ac:dyDescent="0.35">
      <c r="B129" s="168"/>
      <c r="C129" s="1" t="s">
        <v>0</v>
      </c>
      <c r="D129" s="174" t="s">
        <v>283</v>
      </c>
      <c r="E129" s="174"/>
      <c r="F129" s="174"/>
      <c r="G129" s="174" t="s">
        <v>299</v>
      </c>
      <c r="H129" s="174"/>
      <c r="I129" s="174"/>
      <c r="J129" s="174"/>
      <c r="K129" s="181" t="s">
        <v>295</v>
      </c>
      <c r="L129" s="181"/>
      <c r="M129" s="181"/>
      <c r="N129" s="187" t="str">
        <f>TEXT('D&amp;V'!AV6,"0,0")&amp;" ("&amp;TEXT('D&amp;V'!AV8,"dd-mmm")&amp;")"</f>
        <v>508 (27-Jan)</v>
      </c>
      <c r="O129" s="187"/>
      <c r="P129" s="187"/>
      <c r="Q129" s="88"/>
      <c r="Z129" s="173"/>
      <c r="AA129" s="173"/>
      <c r="AB129" s="173"/>
      <c r="AC129" s="173"/>
    </row>
    <row r="130" spans="2:29" ht="7.5" customHeight="1" x14ac:dyDescent="0.35">
      <c r="B130" s="168"/>
      <c r="Z130" s="173"/>
      <c r="AA130" s="173"/>
      <c r="AB130" s="173"/>
      <c r="AC130" s="173"/>
    </row>
    <row r="131" spans="2:29" ht="15" customHeight="1" x14ac:dyDescent="0.35">
      <c r="B131" s="168"/>
      <c r="C131" s="12" t="s">
        <v>13</v>
      </c>
      <c r="D131" s="117">
        <v>171.42857142857142</v>
      </c>
      <c r="E131" s="117">
        <v>146.42857142857142</v>
      </c>
      <c r="F131" s="117">
        <v>138.57142857142858</v>
      </c>
      <c r="G131" s="117">
        <v>84.571428571428569</v>
      </c>
      <c r="H131" s="117">
        <v>74.571428571428569</v>
      </c>
      <c r="I131" s="117">
        <v>123.42857142857143</v>
      </c>
      <c r="J131" s="117">
        <v>99.571428571428569</v>
      </c>
      <c r="K131" s="117">
        <v>145.71428571428572</v>
      </c>
      <c r="L131" s="117">
        <v>146.14285714285714</v>
      </c>
      <c r="M131" s="117">
        <v>137.28571428571428</v>
      </c>
      <c r="N131" s="117">
        <v>125.57142857142857</v>
      </c>
      <c r="O131" s="117">
        <v>103.57142857142857</v>
      </c>
      <c r="P131" s="117">
        <v>125.71428571428571</v>
      </c>
      <c r="Z131" s="173"/>
      <c r="AA131" s="173"/>
      <c r="AB131" s="173"/>
      <c r="AC131" s="173"/>
    </row>
    <row r="132" spans="2:29" x14ac:dyDescent="0.35">
      <c r="B132" s="168"/>
      <c r="C132" s="1" t="s">
        <v>283</v>
      </c>
      <c r="D132" s="127">
        <v>26.428571428571427</v>
      </c>
      <c r="E132" s="127">
        <v>20.142857142857142</v>
      </c>
      <c r="F132" s="127">
        <v>21.428571428571427</v>
      </c>
      <c r="G132" s="127">
        <v>16.714285714285715</v>
      </c>
      <c r="H132" s="127">
        <v>11.142857142857142</v>
      </c>
      <c r="I132" s="127">
        <v>7.1428571428571432</v>
      </c>
      <c r="J132" s="127">
        <v>5</v>
      </c>
      <c r="K132" s="127">
        <v>5</v>
      </c>
      <c r="L132" s="127">
        <v>6</v>
      </c>
      <c r="M132" s="127">
        <v>16.714285714285715</v>
      </c>
      <c r="N132" s="127">
        <v>12</v>
      </c>
      <c r="O132" s="127">
        <v>9.5714285714285712</v>
      </c>
      <c r="P132" s="127">
        <v>7.8571428571428568</v>
      </c>
      <c r="Z132" s="173"/>
      <c r="AA132" s="173"/>
      <c r="AB132" s="173"/>
      <c r="AC132" s="173"/>
    </row>
    <row r="133" spans="2:29" ht="7.5" customHeight="1" x14ac:dyDescent="0.35">
      <c r="B133" s="168"/>
      <c r="C133" s="1"/>
      <c r="Z133" s="173"/>
      <c r="AA133" s="173"/>
      <c r="AB133" s="173"/>
      <c r="AC133" s="173"/>
    </row>
    <row r="134" spans="2:29" x14ac:dyDescent="0.35">
      <c r="B134" s="168"/>
      <c r="C134" s="16" t="s">
        <v>295</v>
      </c>
      <c r="D134" s="62">
        <f>IFERROR(VLOOKUP(D$4,'D&amp;V'!$BO$5:$BW$18,2,FALSE),"")</f>
        <v>47.428571428571431</v>
      </c>
      <c r="E134" s="62">
        <f>IFERROR(VLOOKUP(E$4,'D&amp;V'!$BO$5:$BW$18,2,FALSE),"")</f>
        <v>48.428571428571431</v>
      </c>
      <c r="F134" s="62">
        <f>IFERROR(VLOOKUP(F$4,'D&amp;V'!$BO$5:$BW$18,2,FALSE),"")</f>
        <v>93.142857142857139</v>
      </c>
      <c r="G134" s="62">
        <f>IFERROR(VLOOKUP(G$4,'D&amp;V'!$BO$5:$BW$18,2,FALSE),"")</f>
        <v>74.285714285714292</v>
      </c>
      <c r="H134" s="62">
        <f>IFERROR(VLOOKUP(H$4,'D&amp;V'!$BO$5:$BW$18,2,FALSE),"")</f>
        <v>55.285714285714285</v>
      </c>
      <c r="I134" s="62">
        <f>IFERROR(VLOOKUP(I$4,'D&amp;V'!$BO$5:$BW$18,2,FALSE),"")</f>
        <v>25.857142857142858</v>
      </c>
      <c r="J134" s="62">
        <f>IFERROR(VLOOKUP(J$4,'D&amp;V'!$BO$5:$BW$18,2,FALSE),"")</f>
        <v>25.857142857142858</v>
      </c>
      <c r="K134" s="62">
        <f>IFERROR(VLOOKUP(K$4,'D&amp;V'!$BO$5:$BW$18,2,FALSE),"")</f>
        <v>51.285714285714285</v>
      </c>
      <c r="L134" s="62">
        <f>IFERROR(VLOOKUP(L$4,'D&amp;V'!$BO$5:$BW$18,2,FALSE),"")</f>
        <v>95.285714285714292</v>
      </c>
      <c r="M134" s="62">
        <f>IFERROR(VLOOKUP(M$4,'D&amp;V'!$BO$5:$BW$18,2,FALSE),"")</f>
        <v>79.571428571428569</v>
      </c>
      <c r="N134" s="62">
        <f>IFERROR(VLOOKUP(N$4,'D&amp;V'!$BO$5:$BW$18,2,FALSE),"")</f>
        <v>44.714285714285715</v>
      </c>
      <c r="O134" s="62">
        <f>IFERROR(VLOOKUP(O$4,'D&amp;V'!$BO$5:$BW$18,2,FALSE),"")</f>
        <v>38</v>
      </c>
      <c r="P134" s="62">
        <f>IFERROR(VLOOKUP(P$4,'D&amp;V'!$BO$5:$BW$18,2,FALSE),"")</f>
        <v>37.428571428571431</v>
      </c>
      <c r="Q134" s="84" t="str">
        <f>IFERROR(VLOOKUP(Q$4,'D&amp;V'!$BO$5:$BV$19,2,FALSE),"")</f>
        <v/>
      </c>
      <c r="Z134" s="173"/>
      <c r="AA134" s="173"/>
      <c r="AB134" s="173"/>
      <c r="AC134" s="173"/>
    </row>
    <row r="135" spans="2:29" x14ac:dyDescent="0.35">
      <c r="B135" s="168"/>
      <c r="C135" s="1" t="s">
        <v>1</v>
      </c>
      <c r="D135" s="155">
        <f>IFERROR(VLOOKUP(D$4,'D&amp;V'!$BO$5:$BW$18,3,FALSE),"")</f>
        <v>2.7142857142857144</v>
      </c>
      <c r="E135" s="155">
        <f>IFERROR(VLOOKUP(E$4,'D&amp;V'!$BO$5:$BW$18,3,FALSE),"")</f>
        <v>2.2857142857142856</v>
      </c>
      <c r="F135" s="155">
        <f>IFERROR(VLOOKUP(F$4,'D&amp;V'!$BO$5:$BW$18,3,FALSE),"")</f>
        <v>2.7142857142857144</v>
      </c>
      <c r="G135" s="155">
        <f>IFERROR(VLOOKUP(G$4,'D&amp;V'!$BO$5:$BW$18,3,FALSE),"")</f>
        <v>1.1428571428571428</v>
      </c>
      <c r="H135" s="155">
        <f>IFERROR(VLOOKUP(H$4,'D&amp;V'!$BO$5:$BW$18,3,FALSE),"")</f>
        <v>0</v>
      </c>
      <c r="I135" s="155">
        <f>IFERROR(VLOOKUP(I$4,'D&amp;V'!$BO$5:$BW$18,3,FALSE),"")</f>
        <v>0</v>
      </c>
      <c r="J135" s="155">
        <f>IFERROR(VLOOKUP(J$4,'D&amp;V'!$BO$5:$BW$18,3,FALSE),"")</f>
        <v>0</v>
      </c>
      <c r="K135" s="155">
        <f>IFERROR(VLOOKUP(K$4,'D&amp;V'!$BO$5:$BW$18,3,FALSE),"")</f>
        <v>0.14285714285714285</v>
      </c>
      <c r="L135" s="155">
        <f>IFERROR(VLOOKUP(L$4,'D&amp;V'!$BO$5:$BW$18,3,FALSE),"")</f>
        <v>0.8571428571428571</v>
      </c>
      <c r="M135" s="155">
        <f>IFERROR(VLOOKUP(M$4,'D&amp;V'!$BO$5:$BW$18,3,FALSE),"")</f>
        <v>4.5714285714285712</v>
      </c>
      <c r="N135" s="155">
        <f>IFERROR(VLOOKUP(N$4,'D&amp;V'!$BO$5:$BW$18,3,FALSE),"")</f>
        <v>4.7142857142857144</v>
      </c>
      <c r="O135" s="155">
        <f>IFERROR(VLOOKUP(O$4,'D&amp;V'!$BO$5:$BW$18,3,FALSE),"")</f>
        <v>1</v>
      </c>
      <c r="P135" s="155">
        <f>IFERROR(VLOOKUP(P$4,'D&amp;V'!$BO$5:$BW$18,3,FALSE),"")</f>
        <v>0.2857142857142857</v>
      </c>
      <c r="Q135" s="89" t="str">
        <f>IFERROR(VLOOKUP(Q$4,'D&amp;V'!$BO$5:$BV$19,3,FALSE),"")</f>
        <v/>
      </c>
      <c r="Z135" s="173"/>
      <c r="AA135" s="173"/>
      <c r="AB135" s="173"/>
      <c r="AC135" s="173"/>
    </row>
    <row r="136" spans="2:29" x14ac:dyDescent="0.35">
      <c r="B136" s="168"/>
      <c r="C136" s="1" t="s">
        <v>220</v>
      </c>
      <c r="D136" s="155">
        <f>IFERROR(VLOOKUP(D$4,'D&amp;V'!$BO$5:$BW$18,4,FALSE),"")</f>
        <v>2.4285714285714284</v>
      </c>
      <c r="E136" s="155">
        <f>IFERROR(VLOOKUP(E$4,'D&amp;V'!$BO$5:$BW$18,4,FALSE),"")</f>
        <v>3.1428571428571428</v>
      </c>
      <c r="F136" s="155">
        <f>IFERROR(VLOOKUP(F$4,'D&amp;V'!$BO$5:$BW$18,4,FALSE),"")</f>
        <v>8.5714285714285712</v>
      </c>
      <c r="G136" s="155">
        <f>IFERROR(VLOOKUP(G$4,'D&amp;V'!$BO$5:$BW$18,4,FALSE),"")</f>
        <v>4.5714285714285712</v>
      </c>
      <c r="H136" s="155">
        <f>IFERROR(VLOOKUP(H$4,'D&amp;V'!$BO$5:$BW$18,4,FALSE),"")</f>
        <v>5.8571428571428568</v>
      </c>
      <c r="I136" s="155">
        <f>IFERROR(VLOOKUP(I$4,'D&amp;V'!$BO$5:$BW$18,4,FALSE),"")</f>
        <v>2.8571428571428572</v>
      </c>
      <c r="J136" s="155">
        <f>IFERROR(VLOOKUP(J$4,'D&amp;V'!$BO$5:$BW$18,4,FALSE),"")</f>
        <v>2</v>
      </c>
      <c r="K136" s="155">
        <f>IFERROR(VLOOKUP(K$4,'D&amp;V'!$BO$5:$BW$18,4,FALSE),"")</f>
        <v>2.8571428571428572</v>
      </c>
      <c r="L136" s="155">
        <f>IFERROR(VLOOKUP(L$4,'D&amp;V'!$BO$5:$BW$18,4,FALSE),"")</f>
        <v>20</v>
      </c>
      <c r="M136" s="155">
        <f>IFERROR(VLOOKUP(M$4,'D&amp;V'!$BO$5:$BW$18,4,FALSE),"")</f>
        <v>18.857142857142858</v>
      </c>
      <c r="N136" s="155">
        <f>IFERROR(VLOOKUP(N$4,'D&amp;V'!$BO$5:$BW$18,4,FALSE),"")</f>
        <v>24</v>
      </c>
      <c r="O136" s="155">
        <f>IFERROR(VLOOKUP(O$4,'D&amp;V'!$BO$5:$BW$18,4,FALSE),"")</f>
        <v>20</v>
      </c>
      <c r="P136" s="155">
        <f>IFERROR(VLOOKUP(P$4,'D&amp;V'!$BO$5:$BW$18,4,FALSE),"")</f>
        <v>9.1428571428571423</v>
      </c>
      <c r="Q136" s="89" t="str">
        <f>IFERROR(VLOOKUP(Q$4,'D&amp;V'!$BO$5:$BV$19,4,FALSE),"")</f>
        <v/>
      </c>
      <c r="Z136" s="173"/>
      <c r="AA136" s="173"/>
      <c r="AB136" s="173"/>
      <c r="AC136" s="173"/>
    </row>
    <row r="137" spans="2:29" x14ac:dyDescent="0.35">
      <c r="B137" s="168"/>
      <c r="C137" s="1" t="s">
        <v>248</v>
      </c>
      <c r="D137" s="155">
        <f>IFERROR(VLOOKUP(D$4,'D&amp;V'!$BO$5:$BW$18,8,FALSE),"")</f>
        <v>6.5714285714285712</v>
      </c>
      <c r="E137" s="155">
        <f>IFERROR(VLOOKUP(E$4,'D&amp;V'!$BO$5:$BW$18,8,FALSE),"")</f>
        <v>0.5714285714285714</v>
      </c>
      <c r="F137" s="155">
        <f>IFERROR(VLOOKUP(F$4,'D&amp;V'!$BO$5:$BW$18,8,FALSE),"")</f>
        <v>6.1428571428571432</v>
      </c>
      <c r="G137" s="155">
        <f>IFERROR(VLOOKUP(G$4,'D&amp;V'!$BO$5:$BW$18,8,FALSE),"")</f>
        <v>6.1428571428571432</v>
      </c>
      <c r="H137" s="155">
        <f>IFERROR(VLOOKUP(H$4,'D&amp;V'!$BO$5:$BW$18,8,FALSE),"")</f>
        <v>14.428571428571429</v>
      </c>
      <c r="I137" s="155">
        <f>IFERROR(VLOOKUP(I$4,'D&amp;V'!$BO$5:$BW$18,8,FALSE),"")</f>
        <v>4.4285714285714288</v>
      </c>
      <c r="J137" s="155">
        <f>IFERROR(VLOOKUP(J$4,'D&amp;V'!$BO$5:$BW$18,8,FALSE),"")</f>
        <v>8.8571428571428577</v>
      </c>
      <c r="K137" s="155">
        <f>IFERROR(VLOOKUP(K$4,'D&amp;V'!$BO$5:$BW$18,8,FALSE),"")</f>
        <v>8</v>
      </c>
      <c r="L137" s="155">
        <f>IFERROR(VLOOKUP(L$4,'D&amp;V'!$BO$5:$BW$18,8,FALSE),"")</f>
        <v>1.8571428571428572</v>
      </c>
      <c r="M137" s="155">
        <f>IFERROR(VLOOKUP(M$4,'D&amp;V'!$BO$5:$BW$18,8,FALSE),"")</f>
        <v>4.5714285714285712</v>
      </c>
      <c r="N137" s="155">
        <f>IFERROR(VLOOKUP(N$4,'D&amp;V'!$BO$5:$BW$18,8,FALSE),"")</f>
        <v>2.4285714285714284</v>
      </c>
      <c r="O137" s="155">
        <f>IFERROR(VLOOKUP(O$4,'D&amp;V'!$BO$5:$BW$18,8,FALSE),"")</f>
        <v>3.1428571428571428</v>
      </c>
      <c r="P137" s="155">
        <f>IFERROR(VLOOKUP(P$4,'D&amp;V'!$BO$5:$BW$18,8,FALSE),"")</f>
        <v>2.8571428571428572</v>
      </c>
      <c r="Q137" s="89"/>
      <c r="Z137" s="173"/>
      <c r="AA137" s="173"/>
      <c r="AB137" s="173"/>
      <c r="AC137" s="173"/>
    </row>
    <row r="138" spans="2:29" x14ac:dyDescent="0.35">
      <c r="B138" s="168"/>
      <c r="C138" s="1" t="s">
        <v>249</v>
      </c>
      <c r="D138" s="155">
        <f>IFERROR(VLOOKUP(D$4,'D&amp;V'!$BO$5:$BW$18,5,FALSE),"")</f>
        <v>9</v>
      </c>
      <c r="E138" s="155">
        <f>IFERROR(VLOOKUP(E$4,'D&amp;V'!$BO$5:$BW$18,5,FALSE),"")</f>
        <v>13.714285714285714</v>
      </c>
      <c r="F138" s="155">
        <f>IFERROR(VLOOKUP(F$4,'D&amp;V'!$BO$5:$BW$18,5,FALSE),"")</f>
        <v>40.714285714285715</v>
      </c>
      <c r="G138" s="155">
        <f>IFERROR(VLOOKUP(G$4,'D&amp;V'!$BO$5:$BW$18,5,FALSE),"")</f>
        <v>30.714285714285715</v>
      </c>
      <c r="H138" s="155">
        <f>IFERROR(VLOOKUP(H$4,'D&amp;V'!$BO$5:$BW$18,5,FALSE),"")</f>
        <v>21</v>
      </c>
      <c r="I138" s="155">
        <f>IFERROR(VLOOKUP(I$4,'D&amp;V'!$BO$5:$BW$18,5,FALSE),"")</f>
        <v>15.857142857142858</v>
      </c>
      <c r="J138" s="155">
        <f>IFERROR(VLOOKUP(J$4,'D&amp;V'!$BO$5:$BW$18,5,FALSE),"")</f>
        <v>10.285714285714286</v>
      </c>
      <c r="K138" s="155">
        <f>IFERROR(VLOOKUP(K$4,'D&amp;V'!$BO$5:$BW$18,5,FALSE),"")</f>
        <v>9.1428571428571423</v>
      </c>
      <c r="L138" s="155">
        <f>IFERROR(VLOOKUP(L$4,'D&amp;V'!$BO$5:$BW$18,5,FALSE),"")</f>
        <v>22.428571428571427</v>
      </c>
      <c r="M138" s="155">
        <f>IFERROR(VLOOKUP(M$4,'D&amp;V'!$BO$5:$BW$18,5,FALSE),"")</f>
        <v>14.428571428571429</v>
      </c>
      <c r="N138" s="155">
        <f>IFERROR(VLOOKUP(N$4,'D&amp;V'!$BO$5:$BW$18,5,FALSE),"")</f>
        <v>7.1428571428571432</v>
      </c>
      <c r="O138" s="155">
        <f>IFERROR(VLOOKUP(O$4,'D&amp;V'!$BO$5:$BW$18,5,FALSE),"")</f>
        <v>5.5714285714285712</v>
      </c>
      <c r="P138" s="155">
        <f>IFERROR(VLOOKUP(P$4,'D&amp;V'!$BO$5:$BW$18,5,FALSE),"")</f>
        <v>8.8571428571428577</v>
      </c>
      <c r="Q138" s="89"/>
      <c r="Z138" s="173"/>
      <c r="AA138" s="173"/>
      <c r="AB138" s="173"/>
      <c r="AC138" s="173"/>
    </row>
    <row r="139" spans="2:29" x14ac:dyDescent="0.35">
      <c r="B139" s="168"/>
      <c r="C139" s="1" t="s">
        <v>251</v>
      </c>
      <c r="D139" s="155">
        <f>IFERROR(VLOOKUP(D$4,'D&amp;V'!$BO$5:$BW$18,9,FALSE),"")</f>
        <v>10.571428571428571</v>
      </c>
      <c r="E139" s="155">
        <f>IFERROR(VLOOKUP(E$4,'D&amp;V'!$BO$5:$BW$18,9,FALSE),"")</f>
        <v>8.4285714285714288</v>
      </c>
      <c r="F139" s="155">
        <f>IFERROR(VLOOKUP(F$4,'D&amp;V'!$BO$5:$BW$18,9,FALSE),"")</f>
        <v>5.1428571428571432</v>
      </c>
      <c r="G139" s="155">
        <f>IFERROR(VLOOKUP(G$4,'D&amp;V'!$BO$5:$BW$18,9,FALSE),"")</f>
        <v>9.8571428571428577</v>
      </c>
      <c r="H139" s="155">
        <f>IFERROR(VLOOKUP(H$4,'D&amp;V'!$BO$5:$BW$18,9,FALSE),"")</f>
        <v>2.4285714285714284</v>
      </c>
      <c r="I139" s="155">
        <f>IFERROR(VLOOKUP(I$4,'D&amp;V'!$BO$5:$BW$18,9,FALSE),"")</f>
        <v>1.2857142857142858</v>
      </c>
      <c r="J139" s="155">
        <f>IFERROR(VLOOKUP(J$4,'D&amp;V'!$BO$5:$BW$18,9,FALSE),"")</f>
        <v>2.5714285714285716</v>
      </c>
      <c r="K139" s="155">
        <f>IFERROR(VLOOKUP(K$4,'D&amp;V'!$BO$5:$BW$18,9,FALSE),"")</f>
        <v>10</v>
      </c>
      <c r="L139" s="155">
        <f>IFERROR(VLOOKUP(L$4,'D&amp;V'!$BO$5:$BW$18,9,FALSE),"")</f>
        <v>28.142857142857142</v>
      </c>
      <c r="M139" s="155">
        <f>IFERROR(VLOOKUP(M$4,'D&amp;V'!$BO$5:$BW$18,9,FALSE),"")</f>
        <v>13.714285714285714</v>
      </c>
      <c r="N139" s="155">
        <f>IFERROR(VLOOKUP(N$4,'D&amp;V'!$BO$5:$BW$18,9,FALSE),"")</f>
        <v>0.7142857142857143</v>
      </c>
      <c r="O139" s="155">
        <f>IFERROR(VLOOKUP(O$4,'D&amp;V'!$BO$5:$BW$18,9,FALSE),"")</f>
        <v>0.14285714285714285</v>
      </c>
      <c r="P139" s="155">
        <f>IFERROR(VLOOKUP(P$4,'D&amp;V'!$BO$5:$BW$18,9,FALSE),"")</f>
        <v>2.2857142857142856</v>
      </c>
      <c r="Q139" s="89" t="str">
        <f>IFERROR(VLOOKUP(Q$4,'D&amp;V'!$BO$5:$BV$19,5,FALSE),"")</f>
        <v/>
      </c>
      <c r="Z139" s="173"/>
      <c r="AA139" s="173"/>
      <c r="AB139" s="173"/>
      <c r="AC139" s="173"/>
    </row>
    <row r="140" spans="2:29" x14ac:dyDescent="0.35">
      <c r="B140" s="168"/>
      <c r="C140" s="1" t="s">
        <v>217</v>
      </c>
      <c r="D140" s="155">
        <f>IFERROR(VLOOKUP(D$4,'D&amp;V'!$BO$5:$BW$18,6,FALSE),"")</f>
        <v>11.571428571428571</v>
      </c>
      <c r="E140" s="155">
        <f>IFERROR(VLOOKUP(E$4,'D&amp;V'!$BO$5:$BW$18,6,FALSE),"")</f>
        <v>14.857142857142858</v>
      </c>
      <c r="F140" s="155">
        <f>IFERROR(VLOOKUP(F$4,'D&amp;V'!$BO$5:$BW$18,6,FALSE),"")</f>
        <v>20.142857142857142</v>
      </c>
      <c r="G140" s="155">
        <f>IFERROR(VLOOKUP(G$4,'D&amp;V'!$BO$5:$BW$18,6,FALSE),"")</f>
        <v>10.857142857142858</v>
      </c>
      <c r="H140" s="155">
        <f>IFERROR(VLOOKUP(H$4,'D&amp;V'!$BO$5:$BW$18,6,FALSE),"")</f>
        <v>7.4285714285714288</v>
      </c>
      <c r="I140" s="155">
        <f>IFERROR(VLOOKUP(I$4,'D&amp;V'!$BO$5:$BW$18,6,FALSE),"")</f>
        <v>0.8571428571428571</v>
      </c>
      <c r="J140" s="155">
        <f>IFERROR(VLOOKUP(J$4,'D&amp;V'!$BO$5:$BW$18,6,FALSE),"")</f>
        <v>1.5714285714285714</v>
      </c>
      <c r="K140" s="155">
        <f>IFERROR(VLOOKUP(K$4,'D&amp;V'!$BO$5:$BW$18,6,FALSE),"")</f>
        <v>8.4285714285714288</v>
      </c>
      <c r="L140" s="155">
        <f>IFERROR(VLOOKUP(L$4,'D&amp;V'!$BO$5:$BW$18,6,FALSE),"")</f>
        <v>11.714285714285714</v>
      </c>
      <c r="M140" s="155">
        <f>IFERROR(VLOOKUP(M$4,'D&amp;V'!$BO$5:$BW$18,6,FALSE),"")</f>
        <v>14.714285714285714</v>
      </c>
      <c r="N140" s="155">
        <f>IFERROR(VLOOKUP(N$4,'D&amp;V'!$BO$5:$BW$18,6,FALSE),"")</f>
        <v>3.1428571428571428</v>
      </c>
      <c r="O140" s="155">
        <f>IFERROR(VLOOKUP(O$4,'D&amp;V'!$BO$5:$BW$18,6,FALSE),"")</f>
        <v>4.2857142857142856</v>
      </c>
      <c r="P140" s="155">
        <f>IFERROR(VLOOKUP(P$4,'D&amp;V'!$BO$5:$BW$18,6,FALSE),"")</f>
        <v>1.7142857142857142</v>
      </c>
      <c r="Q140" s="89" t="str">
        <f>IFERROR(VLOOKUP(Q$4,'D&amp;V'!$BO$5:$BV$19,6,FALSE),"")</f>
        <v/>
      </c>
      <c r="Z140" s="173"/>
      <c r="AA140" s="173"/>
      <c r="AB140" s="173"/>
      <c r="AC140" s="173"/>
    </row>
    <row r="141" spans="2:29" x14ac:dyDescent="0.35">
      <c r="B141" s="168"/>
      <c r="C141" s="11" t="s">
        <v>218</v>
      </c>
      <c r="D141" s="155">
        <f>IFERROR(VLOOKUP(D$4,'D&amp;V'!$BO$5:$BW$18,7,FALSE),"")</f>
        <v>4.5714285714285712</v>
      </c>
      <c r="E141" s="155">
        <f>IFERROR(VLOOKUP(E$4,'D&amp;V'!$BO$5:$BW$18,7,FALSE),"")</f>
        <v>5.4285714285714288</v>
      </c>
      <c r="F141" s="155">
        <f>IFERROR(VLOOKUP(F$4,'D&amp;V'!$BO$5:$BW$18,7,FALSE),"")</f>
        <v>9.7142857142857135</v>
      </c>
      <c r="G141" s="155">
        <f>IFERROR(VLOOKUP(G$4,'D&amp;V'!$BO$5:$BW$18,7,FALSE),"")</f>
        <v>11</v>
      </c>
      <c r="H141" s="155">
        <f>IFERROR(VLOOKUP(H$4,'D&amp;V'!$BO$5:$BW$18,7,FALSE),"")</f>
        <v>4.1428571428571432</v>
      </c>
      <c r="I141" s="155">
        <f>IFERROR(VLOOKUP(I$4,'D&amp;V'!$BO$5:$BW$18,7,FALSE),"")</f>
        <v>0.5714285714285714</v>
      </c>
      <c r="J141" s="155">
        <f>IFERROR(VLOOKUP(J$4,'D&amp;V'!$BO$5:$BW$18,7,FALSE),"")</f>
        <v>0.5714285714285714</v>
      </c>
      <c r="K141" s="155">
        <f>IFERROR(VLOOKUP(K$4,'D&amp;V'!$BO$5:$BW$18,7,FALSE),"")</f>
        <v>12.714285714285714</v>
      </c>
      <c r="L141" s="155">
        <f>IFERROR(VLOOKUP(L$4,'D&amp;V'!$BO$5:$BW$18,7,FALSE),"")</f>
        <v>10.285714285714286</v>
      </c>
      <c r="M141" s="155">
        <f>IFERROR(VLOOKUP(M$4,'D&amp;V'!$BO$5:$BW$18,7,FALSE),"")</f>
        <v>8.7142857142857135</v>
      </c>
      <c r="N141" s="155">
        <f>IFERROR(VLOOKUP(N$4,'D&amp;V'!$BO$5:$BW$18,7,FALSE),"")</f>
        <v>2.5714285714285716</v>
      </c>
      <c r="O141" s="155">
        <f>IFERROR(VLOOKUP(O$4,'D&amp;V'!$BO$5:$BW$18,7,FALSE),"")</f>
        <v>3.8571428571428572</v>
      </c>
      <c r="P141" s="155">
        <f>IFERROR(VLOOKUP(P$4,'D&amp;V'!$BO$5:$BW$18,7,FALSE),"")</f>
        <v>12.285714285714286</v>
      </c>
      <c r="Q141" s="89" t="str">
        <f>IFERROR(VLOOKUP(Q$4,'D&amp;V'!$BO$5:$BV$19,7,FALSE),"")</f>
        <v/>
      </c>
      <c r="Z141" s="173"/>
      <c r="AA141" s="173"/>
      <c r="AB141" s="173"/>
      <c r="AC141" s="173"/>
    </row>
    <row r="142" spans="2:29" ht="7.5" customHeight="1" x14ac:dyDescent="0.35">
      <c r="B142" s="168"/>
      <c r="Z142" s="173"/>
      <c r="AA142" s="173"/>
      <c r="AB142" s="173"/>
      <c r="AC142" s="173"/>
    </row>
    <row r="143" spans="2:29" x14ac:dyDescent="0.35">
      <c r="B143" s="168"/>
      <c r="C143" s="11" t="s">
        <v>30</v>
      </c>
      <c r="D143" s="59">
        <f>IFERROR(HLOOKUP(D$4,'D&amp;V'!CA143:CN144,2,FALSE),"")</f>
        <v>21</v>
      </c>
      <c r="E143" s="59">
        <f>IFERROR(HLOOKUP(E$4,'D&amp;V'!CB143:CO144,2,FALSE),"")</f>
        <v>24</v>
      </c>
      <c r="F143" s="59">
        <f>IFERROR(HLOOKUP(F$4,'D&amp;V'!CC143:CP144,2,FALSE),"")</f>
        <v>33</v>
      </c>
      <c r="G143" s="59">
        <f>IFERROR(HLOOKUP(G$4,'D&amp;V'!CD143:CP144,2,FALSE),"")</f>
        <v>26</v>
      </c>
      <c r="H143" s="59">
        <f>IFERROR(HLOOKUP(H$4,'D&amp;V'!CE143:CP144,2,FALSE),"")</f>
        <v>22</v>
      </c>
      <c r="I143" s="59">
        <f>IFERROR(HLOOKUP(I$4,'D&amp;V'!CF143:CP144,2,FALSE),"")</f>
        <v>19</v>
      </c>
      <c r="J143" s="59">
        <f>IFERROR(HLOOKUP(J$4,'D&amp;V'!CG143:CP144,2,FALSE),"")</f>
        <v>21</v>
      </c>
      <c r="K143" s="59">
        <f>IFERROR(HLOOKUP(K$4,'D&amp;V'!CH143:CQ144,2,FALSE),"")</f>
        <v>21</v>
      </c>
      <c r="L143" s="59">
        <f>IFERROR(HLOOKUP(L$4,'D&amp;V'!CI143:CR144,2,FALSE),"")</f>
        <v>24</v>
      </c>
      <c r="M143" s="59">
        <f>IFERROR(HLOOKUP(M$4,'D&amp;V'!CJ143:CS144,2,FALSE),"")</f>
        <v>25</v>
      </c>
      <c r="N143" s="59">
        <f>IFERROR(HLOOKUP(N$4,'D&amp;V'!CK143:CT144,2,FALSE),"")</f>
        <v>24</v>
      </c>
      <c r="O143" s="59">
        <f>IFERROR(HLOOKUP(O$4,'D&amp;V'!CL143:CU144,2,FALSE),"")</f>
        <v>23</v>
      </c>
      <c r="P143" s="59">
        <f>IFERROR(HLOOKUP(P$4,'D&amp;V'!CM143:CV144,2,FALSE),"")</f>
        <v>27</v>
      </c>
      <c r="Q143" s="87" t="str">
        <f>IFERROR(HLOOKUP(Q$4,'D&amp;V'!CN143:CW144,2,FALSE),"")</f>
        <v/>
      </c>
      <c r="Z143" s="173"/>
      <c r="AA143" s="173"/>
      <c r="AB143" s="173"/>
      <c r="AC143" s="173"/>
    </row>
    <row r="144" spans="2:29" ht="7.5" customHeight="1" x14ac:dyDescent="0.35">
      <c r="B144" s="168"/>
      <c r="C144" s="1"/>
      <c r="Z144" s="173"/>
      <c r="AA144" s="173"/>
      <c r="AB144" s="173"/>
      <c r="AC144" s="173"/>
    </row>
    <row r="145" spans="2:29" x14ac:dyDescent="0.35">
      <c r="B145" s="168"/>
      <c r="C145" s="1" t="s">
        <v>0</v>
      </c>
      <c r="D145" s="174" t="s">
        <v>283</v>
      </c>
      <c r="E145" s="174"/>
      <c r="F145" s="174"/>
      <c r="G145" s="174" t="s">
        <v>300</v>
      </c>
      <c r="H145" s="174"/>
      <c r="I145" s="174"/>
      <c r="J145" s="174"/>
      <c r="K145" s="181" t="s">
        <v>295</v>
      </c>
      <c r="L145" s="181"/>
      <c r="M145" s="181"/>
      <c r="N145" s="188" t="str">
        <f>TEXT('D&amp;V'!CU6,"0,0")&amp;" ("&amp;TEXT('D&amp;V'!CU8,"dd-mmm")&amp;")"</f>
        <v>139 (30-Jan)</v>
      </c>
      <c r="O145" s="189"/>
      <c r="P145" s="190"/>
      <c r="Q145" s="88"/>
      <c r="Z145" s="173"/>
      <c r="AA145" s="173"/>
      <c r="AB145" s="173"/>
      <c r="AC145" s="173"/>
    </row>
    <row r="146" spans="2:29" ht="30" customHeight="1" x14ac:dyDescent="0.35">
      <c r="C146" s="1"/>
    </row>
    <row r="147" spans="2:29" ht="15" customHeight="1" x14ac:dyDescent="0.35">
      <c r="B147" s="168" t="s">
        <v>14</v>
      </c>
      <c r="C147" s="12" t="s">
        <v>16</v>
      </c>
      <c r="D147" s="125">
        <v>0.83083453405506447</v>
      </c>
      <c r="E147" s="125">
        <v>0.83786411542799366</v>
      </c>
      <c r="F147" s="125">
        <v>0.8412383177570093</v>
      </c>
      <c r="G147" s="125">
        <v>0.78613350027388684</v>
      </c>
      <c r="H147" s="125">
        <v>0.82354774613316706</v>
      </c>
      <c r="I147" s="125">
        <v>0.84481688392302923</v>
      </c>
      <c r="J147" s="125">
        <v>0.83203883495145636</v>
      </c>
      <c r="K147" s="125">
        <v>0.81908099688473524</v>
      </c>
      <c r="L147" s="125">
        <v>0.82227857978930941</v>
      </c>
      <c r="M147" s="125">
        <v>0.81373885275906388</v>
      </c>
      <c r="N147" s="125">
        <v>0.81617332451670621</v>
      </c>
      <c r="O147" s="125">
        <v>0.81046031622400494</v>
      </c>
      <c r="P147" s="125">
        <v>0.81750175329229335</v>
      </c>
      <c r="Q147" s="3"/>
      <c r="R147" s="3"/>
      <c r="Z147" s="169" t="s">
        <v>31</v>
      </c>
      <c r="AA147" s="169"/>
      <c r="AB147" s="169"/>
      <c r="AC147" s="169"/>
    </row>
    <row r="148" spans="2:29" x14ac:dyDescent="0.35">
      <c r="B148" s="168"/>
      <c r="C148" s="1" t="s">
        <v>283</v>
      </c>
      <c r="D148" s="126">
        <v>0.73717077590111957</v>
      </c>
      <c r="E148" s="126">
        <v>0.75170078994035139</v>
      </c>
      <c r="F148" s="126">
        <v>0.77040799389171066</v>
      </c>
      <c r="G148" s="126">
        <v>0.76018467340767959</v>
      </c>
      <c r="H148" s="126">
        <v>0.79547469805840088</v>
      </c>
      <c r="I148" s="126">
        <v>0.83428857603917428</v>
      </c>
      <c r="J148" s="126">
        <v>0.86481113320079528</v>
      </c>
      <c r="K148" s="126">
        <v>0.87135040799962271</v>
      </c>
      <c r="L148" s="126">
        <v>0.8617799345236713</v>
      </c>
      <c r="M148" s="126">
        <v>0.83258975993201612</v>
      </c>
      <c r="N148" s="126">
        <v>0.79740577581987271</v>
      </c>
      <c r="O148" s="126">
        <v>0.77386114370249448</v>
      </c>
      <c r="P148" s="126">
        <v>0.75271739130434778</v>
      </c>
      <c r="Z148" s="169"/>
      <c r="AA148" s="169"/>
      <c r="AB148" s="169"/>
      <c r="AC148" s="169"/>
    </row>
    <row r="149" spans="2:29" ht="7.5" customHeight="1" x14ac:dyDescent="0.35">
      <c r="B149" s="168"/>
      <c r="C149" s="1"/>
      <c r="D149" s="30">
        <v>0.85</v>
      </c>
      <c r="E149" s="30">
        <v>0.85</v>
      </c>
      <c r="F149" s="30">
        <v>0.85</v>
      </c>
      <c r="G149" s="30">
        <v>0.85</v>
      </c>
      <c r="H149" s="30">
        <v>0.85</v>
      </c>
      <c r="I149" s="30">
        <v>0.85</v>
      </c>
      <c r="J149" s="30">
        <v>0.85</v>
      </c>
      <c r="K149" s="30">
        <v>0.85</v>
      </c>
      <c r="L149" s="30">
        <v>0.85</v>
      </c>
      <c r="M149" s="30">
        <v>0.85</v>
      </c>
      <c r="N149" s="30">
        <v>0.85</v>
      </c>
      <c r="O149" s="30">
        <v>0.85</v>
      </c>
      <c r="P149" s="30">
        <v>0.85</v>
      </c>
      <c r="Q149" s="30">
        <v>0.85</v>
      </c>
      <c r="Z149" s="169"/>
      <c r="AA149" s="169"/>
      <c r="AB149" s="169"/>
      <c r="AC149" s="169"/>
    </row>
    <row r="150" spans="2:29" x14ac:dyDescent="0.35">
      <c r="B150" s="168"/>
      <c r="C150" s="16" t="s">
        <v>295</v>
      </c>
      <c r="D150" s="63">
        <f>IFERROR(VLOOKUP(D$4,'Critical care'!$AB$3:$AJ$16,2,FALSE),"")</f>
        <v>0.80811728946897909</v>
      </c>
      <c r="E150" s="63">
        <f>IFERROR(VLOOKUP(E$4,'Critical care'!$AB$3:$AJ$16,2,FALSE),"")</f>
        <v>0.80814511826427171</v>
      </c>
      <c r="F150" s="63">
        <f>IFERROR(VLOOKUP(F$4,'Critical care'!$AB$3:$AJ$16,2,FALSE),"")</f>
        <v>0.80029891110952955</v>
      </c>
      <c r="G150" s="63">
        <f>IFERROR(VLOOKUP(G$4,'Critical care'!$AB$3:$AJ$16,2,FALSE),"")</f>
        <v>0.75371649726914314</v>
      </c>
      <c r="H150" s="63">
        <f>IFERROR(VLOOKUP(H$4,'Critical care'!$AB$3:$AJ$16,2,FALSE),"")</f>
        <v>0.75192175827348517</v>
      </c>
      <c r="I150" s="63">
        <f>IFERROR(VLOOKUP(I$4,'Critical care'!$AB$3:$AJ$16,2,FALSE),"")</f>
        <v>0.77579905403468541</v>
      </c>
      <c r="J150" s="63">
        <f>IFERROR(VLOOKUP(J$4,'Critical care'!$AB$3:$AJ$16,2,FALSE),"")</f>
        <v>0.76401105805478764</v>
      </c>
      <c r="K150" s="63">
        <f>IFERROR(VLOOKUP(K$4,'Critical care'!$AB$3:$AJ$16,2,FALSE),"")</f>
        <v>0.74775325328923714</v>
      </c>
      <c r="L150" s="63">
        <f>IFERROR(VLOOKUP(L$4,'Critical care'!$AB$3:$AJ$16,2,FALSE),"")</f>
        <v>0.74249284601731447</v>
      </c>
      <c r="M150" s="63">
        <f>IFERROR(VLOOKUP(M$4,'Critical care'!$AB$3:$AJ$16,2,FALSE),"")</f>
        <v>0.75179843111737699</v>
      </c>
      <c r="N150" s="63">
        <f>IFERROR(VLOOKUP(N$4,'Critical care'!$AB$3:$AJ$16,2,FALSE),"")</f>
        <v>0.75538887270608801</v>
      </c>
      <c r="O150" s="63">
        <f>IFERROR(VLOOKUP(O$4,'Critical care'!$AB$3:$AJ$16,2,FALSE),"")</f>
        <v>0.75438404608261334</v>
      </c>
      <c r="P150" s="63">
        <f>IFERROR(VLOOKUP(P$4,'Critical care'!$AB$3:$AJ$16,2,FALSE),"")</f>
        <v>0.75502183406113532</v>
      </c>
      <c r="Q150" s="90" t="str">
        <f>IFERROR(VLOOKUP(Q$4,'Critical care'!$AB$3:$AI$17,2,FALSE),"")</f>
        <v/>
      </c>
      <c r="Z150" s="169"/>
      <c r="AA150" s="169"/>
      <c r="AB150" s="169"/>
      <c r="AC150" s="169"/>
    </row>
    <row r="151" spans="2:29" ht="15" customHeight="1" x14ac:dyDescent="0.35">
      <c r="B151" s="168"/>
      <c r="C151" s="1" t="s">
        <v>1</v>
      </c>
      <c r="D151" s="156">
        <f>IFERROR(VLOOKUP(D$4,'Critical care'!$AB$3:$AJ$16,3,FALSE),"")</f>
        <v>0.8745358910891089</v>
      </c>
      <c r="E151" s="156">
        <f>IFERROR(VLOOKUP(E$4,'Critical care'!$AB$3:$AJ$16,3,FALSE),"")</f>
        <v>0.88107773304428616</v>
      </c>
      <c r="F151" s="156">
        <f>IFERROR(VLOOKUP(F$4,'Critical care'!$AB$3:$AJ$16,3,FALSE),"")</f>
        <v>0.86216423637759021</v>
      </c>
      <c r="G151" s="156">
        <f>IFERROR(VLOOKUP(G$4,'Critical care'!$AB$3:$AJ$16,3,FALSE),"")</f>
        <v>0.81420428285318136</v>
      </c>
      <c r="H151" s="156">
        <f>IFERROR(VLOOKUP(H$4,'Critical care'!$AB$3:$AJ$16,3,FALSE),"")</f>
        <v>0.82065133508257448</v>
      </c>
      <c r="I151" s="156">
        <f>IFERROR(VLOOKUP(I$4,'Critical care'!$AB$3:$AJ$16,3,FALSE),"")</f>
        <v>0.85031504533579227</v>
      </c>
      <c r="J151" s="156">
        <f>IFERROR(VLOOKUP(J$4,'Critical care'!$AB$3:$AJ$16,3,FALSE),"")</f>
        <v>0.85015105740181274</v>
      </c>
      <c r="K151" s="156">
        <f>IFERROR(VLOOKUP(K$4,'Critical care'!$AB$3:$AJ$16,3,FALSE),"")</f>
        <v>0.82466455600783961</v>
      </c>
      <c r="L151" s="156">
        <f>IFERROR(VLOOKUP(L$4,'Critical care'!$AB$3:$AJ$16,3,FALSE),"")</f>
        <v>0.79993955877908729</v>
      </c>
      <c r="M151" s="156">
        <f>IFERROR(VLOOKUP(M$4,'Critical care'!$AB$3:$AJ$16,3,FALSE),"")</f>
        <v>0.7955401536838933</v>
      </c>
      <c r="N151" s="156">
        <f>IFERROR(VLOOKUP(N$4,'Critical care'!$AB$3:$AJ$16,3,FALSE),"")</f>
        <v>0.81779596786418074</v>
      </c>
      <c r="O151" s="156">
        <f>IFERROR(VLOOKUP(O$4,'Critical care'!$AB$3:$AJ$16,3,FALSE),"")</f>
        <v>0.81121667177444068</v>
      </c>
      <c r="P151" s="156">
        <f>IFERROR(VLOOKUP(P$4,'Critical care'!$AB$3:$AJ$16,3,FALSE),"")</f>
        <v>0.80684410646387827</v>
      </c>
      <c r="Q151" s="91" t="str">
        <f>IFERROR(VLOOKUP(Q$4,'Critical care'!$AB$3:$AI$17,3,FALSE),"")</f>
        <v/>
      </c>
      <c r="Z151" s="171" t="s">
        <v>323</v>
      </c>
      <c r="AA151" s="171"/>
      <c r="AB151" s="171"/>
      <c r="AC151" s="171"/>
    </row>
    <row r="152" spans="2:29" x14ac:dyDescent="0.35">
      <c r="B152" s="168"/>
      <c r="C152" s="1" t="s">
        <v>220</v>
      </c>
      <c r="D152" s="156">
        <f>IFERROR(VLOOKUP(D$4,'Critical care'!$AB$3:$AJ$16,4,FALSE),"")</f>
        <v>0.78993764781767362</v>
      </c>
      <c r="E152" s="156">
        <f>IFERROR(VLOOKUP(E$4,'Critical care'!$AB$3:$AJ$16,4,FALSE),"")</f>
        <v>0.78161161371765198</v>
      </c>
      <c r="F152" s="156">
        <f>IFERROR(VLOOKUP(F$4,'Critical care'!$AB$3:$AJ$16,4,FALSE),"")</f>
        <v>0.78322887400043228</v>
      </c>
      <c r="G152" s="156">
        <f>IFERROR(VLOOKUP(G$4,'Critical care'!$AB$3:$AJ$16,4,FALSE),"")</f>
        <v>0.73764679813871037</v>
      </c>
      <c r="H152" s="156">
        <f>IFERROR(VLOOKUP(H$4,'Critical care'!$AB$3:$AJ$16,4,FALSE),"")</f>
        <v>0.71803930227423274</v>
      </c>
      <c r="I152" s="156">
        <f>IFERROR(VLOOKUP(I$4,'Critical care'!$AB$3:$AJ$16,4,FALSE),"")</f>
        <v>0.75668508287292813</v>
      </c>
      <c r="J152" s="156">
        <f>IFERROR(VLOOKUP(J$4,'Critical care'!$AB$3:$AJ$16,4,FALSE),"")</f>
        <v>0.7475127128012381</v>
      </c>
      <c r="K152" s="156">
        <f>IFERROR(VLOOKUP(K$4,'Critical care'!$AB$3:$AJ$16,4,FALSE),"")</f>
        <v>0.72365544381285529</v>
      </c>
      <c r="L152" s="156">
        <f>IFERROR(VLOOKUP(L$4,'Critical care'!$AB$3:$AJ$16,4,FALSE),"")</f>
        <v>0.73636960805780605</v>
      </c>
      <c r="M152" s="156">
        <f>IFERROR(VLOOKUP(M$4,'Critical care'!$AB$3:$AJ$16,4,FALSE),"")</f>
        <v>0.72382198952879584</v>
      </c>
      <c r="N152" s="156">
        <f>IFERROR(VLOOKUP(N$4,'Critical care'!$AB$3:$AJ$16,4,FALSE),"")</f>
        <v>0.69528546712802763</v>
      </c>
      <c r="O152" s="156">
        <f>IFERROR(VLOOKUP(O$4,'Critical care'!$AB$3:$AJ$16,4,FALSE),"")</f>
        <v>0.71842966194111235</v>
      </c>
      <c r="P152" s="156">
        <f>IFERROR(VLOOKUP(P$4,'Critical care'!$AB$3:$AJ$16,4,FALSE),"")</f>
        <v>0.72725298588490772</v>
      </c>
      <c r="Q152" s="91" t="str">
        <f>IFERROR(VLOOKUP(Q$4,'Critical care'!$AB$3:$AI$17,4,FALSE),"")</f>
        <v/>
      </c>
      <c r="Z152" s="171"/>
      <c r="AA152" s="171"/>
      <c r="AB152" s="171"/>
      <c r="AC152" s="171"/>
    </row>
    <row r="153" spans="2:29" x14ac:dyDescent="0.35">
      <c r="B153" s="168"/>
      <c r="C153" s="1" t="s">
        <v>248</v>
      </c>
      <c r="D153" s="156">
        <f>IFERROR(VLOOKUP(D$4,'Critical care'!$AB$3:$AJ$16,8,FALSE),"")</f>
        <v>0.77688368690563281</v>
      </c>
      <c r="E153" s="156">
        <f>IFERROR(VLOOKUP(E$4,'Critical care'!$AB$3:$AJ$16,8,FALSE),"")</f>
        <v>0.79649645918747669</v>
      </c>
      <c r="F153" s="156">
        <f>IFERROR(VLOOKUP(F$4,'Critical care'!$AB$3:$AJ$16,8,FALSE),"")</f>
        <v>0.79832848837209303</v>
      </c>
      <c r="G153" s="156">
        <f>IFERROR(VLOOKUP(G$4,'Critical care'!$AB$3:$AJ$16,8,FALSE),"")</f>
        <v>0.77157360406091369</v>
      </c>
      <c r="H153" s="156">
        <f>IFERROR(VLOOKUP(H$4,'Critical care'!$AB$3:$AJ$16,8,FALSE),"")</f>
        <v>0.7604881769641495</v>
      </c>
      <c r="I153" s="156">
        <f>IFERROR(VLOOKUP(I$4,'Critical care'!$AB$3:$AJ$16,8,FALSE),"")</f>
        <v>0.77146001467351433</v>
      </c>
      <c r="J153" s="156">
        <f>IFERROR(VLOOKUP(J$4,'Critical care'!$AB$3:$AJ$16,8,FALSE),"")</f>
        <v>0.73069460613116022</v>
      </c>
      <c r="K153" s="156">
        <f>IFERROR(VLOOKUP(K$4,'Critical care'!$AB$3:$AJ$16,8,FALSE),"")</f>
        <v>0.71954459203036059</v>
      </c>
      <c r="L153" s="156">
        <f>IFERROR(VLOOKUP(L$4,'Critical care'!$AB$3:$AJ$16,8,FALSE),"")</f>
        <v>0.72919937205651486</v>
      </c>
      <c r="M153" s="156">
        <f>IFERROR(VLOOKUP(M$4,'Critical care'!$AB$3:$AJ$16,8,FALSE),"")</f>
        <v>0.72026604068857591</v>
      </c>
      <c r="N153" s="156">
        <f>IFERROR(VLOOKUP(N$4,'Critical care'!$AB$3:$AJ$16,8,FALSE),"")</f>
        <v>0.72654690618762474</v>
      </c>
      <c r="O153" s="156">
        <f>IFERROR(VLOOKUP(O$4,'Critical care'!$AB$3:$AJ$16,8,FALSE),"")</f>
        <v>0.72201414898044114</v>
      </c>
      <c r="P153" s="156">
        <f>IFERROR(VLOOKUP(P$4,'Critical care'!$AB$3:$AJ$16,8,FALSE),"")</f>
        <v>0.75231202251708884</v>
      </c>
      <c r="Q153" s="91"/>
      <c r="Z153" s="171"/>
      <c r="AA153" s="171"/>
      <c r="AB153" s="171"/>
      <c r="AC153" s="171"/>
    </row>
    <row r="154" spans="2:29" x14ac:dyDescent="0.35">
      <c r="B154" s="168"/>
      <c r="C154" s="1" t="s">
        <v>249</v>
      </c>
      <c r="D154" s="156">
        <f>IFERROR(VLOOKUP(D$4,'Critical care'!$AB$3:$AJ$16,5,FALSE),"")</f>
        <v>0.79353123615418697</v>
      </c>
      <c r="E154" s="156">
        <f>IFERROR(VLOOKUP(E$4,'Critical care'!$AB$3:$AJ$16,5,FALSE),"")</f>
        <v>0.79095920617420068</v>
      </c>
      <c r="F154" s="156">
        <f>IFERROR(VLOOKUP(F$4,'Critical care'!$AB$3:$AJ$16,5,FALSE),"")</f>
        <v>0.76629955947136563</v>
      </c>
      <c r="G154" s="156">
        <f>IFERROR(VLOOKUP(G$4,'Critical care'!$AB$3:$AJ$16,5,FALSE),"")</f>
        <v>0.71641459074733094</v>
      </c>
      <c r="H154" s="156">
        <f>IFERROR(VLOOKUP(H$4,'Critical care'!$AB$3:$AJ$16,5,FALSE),"")</f>
        <v>0.71256952169076748</v>
      </c>
      <c r="I154" s="156">
        <f>IFERROR(VLOOKUP(I$4,'Critical care'!$AB$3:$AJ$16,5,FALSE),"")</f>
        <v>0.73698205185021048</v>
      </c>
      <c r="J154" s="156">
        <f>IFERROR(VLOOKUP(J$4,'Critical care'!$AB$3:$AJ$16,5,FALSE),"")</f>
        <v>0.72700827925710454</v>
      </c>
      <c r="K154" s="156">
        <f>IFERROR(VLOOKUP(K$4,'Critical care'!$AB$3:$AJ$16,5,FALSE),"")</f>
        <v>0.71660283847713446</v>
      </c>
      <c r="L154" s="156">
        <f>IFERROR(VLOOKUP(L$4,'Critical care'!$AB$3:$AJ$16,5,FALSE),"")</f>
        <v>0.68340463859491107</v>
      </c>
      <c r="M154" s="156">
        <f>IFERROR(VLOOKUP(M$4,'Critical care'!$AB$3:$AJ$16,5,FALSE),"")</f>
        <v>0.70299910474485228</v>
      </c>
      <c r="N154" s="156">
        <f>IFERROR(VLOOKUP(N$4,'Critical care'!$AB$3:$AJ$16,5,FALSE),"")</f>
        <v>0.71271225332721433</v>
      </c>
      <c r="O154" s="156">
        <f>IFERROR(VLOOKUP(O$4,'Critical care'!$AB$3:$AJ$16,5,FALSE),"")</f>
        <v>0.699314614194119</v>
      </c>
      <c r="P154" s="156">
        <f>IFERROR(VLOOKUP(P$4,'Critical care'!$AB$3:$AJ$16,5,FALSE),"")</f>
        <v>0.69580573951434876</v>
      </c>
      <c r="Q154" s="91"/>
      <c r="Z154" s="171"/>
      <c r="AA154" s="171"/>
      <c r="AB154" s="171"/>
      <c r="AC154" s="171"/>
    </row>
    <row r="155" spans="2:29" x14ac:dyDescent="0.35">
      <c r="B155" s="168"/>
      <c r="C155" s="1" t="s">
        <v>251</v>
      </c>
      <c r="D155" s="156">
        <f>IFERROR(VLOOKUP(D$4,'Critical care'!$AB$3:$AJ$16,9,FALSE),"")</f>
        <v>0.75336322869955152</v>
      </c>
      <c r="E155" s="156">
        <f>IFERROR(VLOOKUP(E$4,'Critical care'!$AB$3:$AJ$16,9,FALSE),"")</f>
        <v>0.77020938245428039</v>
      </c>
      <c r="F155" s="156">
        <f>IFERROR(VLOOKUP(F$4,'Critical care'!$AB$3:$AJ$16,9,FALSE),"")</f>
        <v>0.76633032395114176</v>
      </c>
      <c r="G155" s="156">
        <f>IFERROR(VLOOKUP(G$4,'Critical care'!$AB$3:$AJ$16,9,FALSE),"")</f>
        <v>0.69693741677762988</v>
      </c>
      <c r="H155" s="156">
        <f>IFERROR(VLOOKUP(H$4,'Critical care'!$AB$3:$AJ$16,9,FALSE),"")</f>
        <v>0.68820074746396154</v>
      </c>
      <c r="I155" s="156">
        <f>IFERROR(VLOOKUP(I$4,'Critical care'!$AB$3:$AJ$16,9,FALSE),"")</f>
        <v>0.72095490716180366</v>
      </c>
      <c r="J155" s="156">
        <f>IFERROR(VLOOKUP(J$4,'Critical care'!$AB$3:$AJ$16,9,FALSE),"")</f>
        <v>0.71864226995491909</v>
      </c>
      <c r="K155" s="156">
        <f>IFERROR(VLOOKUP(K$4,'Critical care'!$AB$3:$AJ$16,9,FALSE),"")</f>
        <v>0.68172157279489909</v>
      </c>
      <c r="L155" s="156">
        <f>IFERROR(VLOOKUP(L$4,'Critical care'!$AB$3:$AJ$16,9,FALSE),"")</f>
        <v>0.70174029451137887</v>
      </c>
      <c r="M155" s="156">
        <f>IFERROR(VLOOKUP(M$4,'Critical care'!$AB$3:$AJ$16,9,FALSE),"")</f>
        <v>0.73672627235213206</v>
      </c>
      <c r="N155" s="156">
        <f>IFERROR(VLOOKUP(N$4,'Critical care'!$AB$3:$AJ$16,9,FALSE),"")</f>
        <v>0.74036343612334798</v>
      </c>
      <c r="O155" s="156">
        <f>IFERROR(VLOOKUP(O$4,'Critical care'!$AB$3:$AJ$16,9,FALSE),"")</f>
        <v>0.74965498205906711</v>
      </c>
      <c r="P155" s="156">
        <f>IFERROR(VLOOKUP(P$4,'Critical care'!$AB$3:$AJ$16,9,FALSE),"")</f>
        <v>0.74403109383675736</v>
      </c>
      <c r="Q155" s="91" t="str">
        <f>IFERROR(VLOOKUP(Q$4,'Critical care'!$AB$3:$AI$17,5,FALSE),"")</f>
        <v/>
      </c>
      <c r="Z155" s="171"/>
      <c r="AA155" s="171"/>
      <c r="AB155" s="171"/>
      <c r="AC155" s="171"/>
    </row>
    <row r="156" spans="2:29" x14ac:dyDescent="0.35">
      <c r="B156" s="168"/>
      <c r="C156" s="1" t="s">
        <v>217</v>
      </c>
      <c r="D156" s="156">
        <f>IFERROR(VLOOKUP(D$4,'Critical care'!$AB$3:$AJ$16,6,FALSE),"")</f>
        <v>0.82112436115843268</v>
      </c>
      <c r="E156" s="156">
        <f>IFERROR(VLOOKUP(E$4,'Critical care'!$AB$3:$AJ$16,6,FALSE),"")</f>
        <v>0.80419773543220108</v>
      </c>
      <c r="F156" s="156">
        <f>IFERROR(VLOOKUP(F$4,'Critical care'!$AB$3:$AJ$16,6,FALSE),"")</f>
        <v>0.79582302830447926</v>
      </c>
      <c r="G156" s="156">
        <f>IFERROR(VLOOKUP(G$4,'Critical care'!$AB$3:$AJ$16,6,FALSE),"")</f>
        <v>0.76436140546569997</v>
      </c>
      <c r="H156" s="156">
        <f>IFERROR(VLOOKUP(H$4,'Critical care'!$AB$3:$AJ$16,6,FALSE),"")</f>
        <v>0.78073368804256515</v>
      </c>
      <c r="I156" s="156">
        <f>IFERROR(VLOOKUP(I$4,'Critical care'!$AB$3:$AJ$16,6,FALSE),"")</f>
        <v>0.7781180400890868</v>
      </c>
      <c r="J156" s="156">
        <f>IFERROR(VLOOKUP(J$4,'Critical care'!$AB$3:$AJ$16,6,FALSE),"")</f>
        <v>0.75986751311068179</v>
      </c>
      <c r="K156" s="156">
        <f>IFERROR(VLOOKUP(K$4,'Critical care'!$AB$3:$AJ$16,6,FALSE),"")</f>
        <v>0.78030734206033014</v>
      </c>
      <c r="L156" s="156">
        <f>IFERROR(VLOOKUP(L$4,'Critical care'!$AB$3:$AJ$16,6,FALSE),"")</f>
        <v>0.78766724840023272</v>
      </c>
      <c r="M156" s="156">
        <f>IFERROR(VLOOKUP(M$4,'Critical care'!$AB$3:$AJ$16,6,FALSE),"")</f>
        <v>0.80323679727427599</v>
      </c>
      <c r="N156" s="156">
        <f>IFERROR(VLOOKUP(N$4,'Critical care'!$AB$3:$AJ$16,6,FALSE),"")</f>
        <v>0.8129847744900891</v>
      </c>
      <c r="O156" s="156">
        <f>IFERROR(VLOOKUP(O$4,'Critical care'!$AB$3:$AJ$16,6,FALSE),"")</f>
        <v>0.78948871750928307</v>
      </c>
      <c r="P156" s="156">
        <f>IFERROR(VLOOKUP(P$4,'Critical care'!$AB$3:$AJ$16,6,FALSE),"")</f>
        <v>0.79323417906095073</v>
      </c>
      <c r="Q156" s="91" t="str">
        <f>IFERROR(VLOOKUP(Q$4,'Critical care'!$AB$3:$AI$17,6,FALSE),"")</f>
        <v/>
      </c>
      <c r="Z156" s="171"/>
      <c r="AA156" s="171"/>
      <c r="AB156" s="171"/>
      <c r="AC156" s="171"/>
    </row>
    <row r="157" spans="2:29" x14ac:dyDescent="0.35">
      <c r="B157" s="168"/>
      <c r="C157" s="11" t="s">
        <v>218</v>
      </c>
      <c r="D157" s="156">
        <f>IFERROR(VLOOKUP(D$4,'Critical care'!$AB$3:$AJ$16,7,FALSE),"")</f>
        <v>0.79423328964613371</v>
      </c>
      <c r="E157" s="156">
        <f>IFERROR(VLOOKUP(E$4,'Critical care'!$AB$3:$AJ$16,7,FALSE),"")</f>
        <v>0.77399650959860389</v>
      </c>
      <c r="F157" s="156">
        <f>IFERROR(VLOOKUP(F$4,'Critical care'!$AB$3:$AJ$16,7,FALSE),"")</f>
        <v>0.79142730888201507</v>
      </c>
      <c r="G157" s="156">
        <f>IFERROR(VLOOKUP(G$4,'Critical care'!$AB$3:$AJ$16,7,FALSE),"")</f>
        <v>0.74342984409799551</v>
      </c>
      <c r="H157" s="156">
        <f>IFERROR(VLOOKUP(H$4,'Critical care'!$AB$3:$AJ$16,7,FALSE),"")</f>
        <v>0.75121305690339657</v>
      </c>
      <c r="I157" s="156">
        <f>IFERROR(VLOOKUP(I$4,'Critical care'!$AB$3:$AJ$16,7,FALSE),"")</f>
        <v>0.77010989010989006</v>
      </c>
      <c r="J157" s="156">
        <f>IFERROR(VLOOKUP(J$4,'Critical care'!$AB$3:$AJ$16,7,FALSE),"")</f>
        <v>0.73832599118942732</v>
      </c>
      <c r="K157" s="156">
        <f>IFERROR(VLOOKUP(K$4,'Critical care'!$AB$3:$AJ$16,7,FALSE),"")</f>
        <v>0.72421425409473217</v>
      </c>
      <c r="L157" s="156">
        <f>IFERROR(VLOOKUP(L$4,'Critical care'!$AB$3:$AJ$16,7,FALSE),"")</f>
        <v>0.71637168141592922</v>
      </c>
      <c r="M157" s="156">
        <f>IFERROR(VLOOKUP(M$4,'Critical care'!$AB$3:$AJ$16,7,FALSE),"")</f>
        <v>0.75630252100840334</v>
      </c>
      <c r="N157" s="156">
        <f>IFERROR(VLOOKUP(N$4,'Critical care'!$AB$3:$AJ$16,7,FALSE),"")</f>
        <v>0.74591971768857523</v>
      </c>
      <c r="O157" s="156">
        <f>IFERROR(VLOOKUP(O$4,'Critical care'!$AB$3:$AJ$16,7,FALSE),"")</f>
        <v>0.76102292768959434</v>
      </c>
      <c r="P157" s="156">
        <f>IFERROR(VLOOKUP(P$4,'Critical care'!$AB$3:$AJ$16,7,FALSE),"")</f>
        <v>0.74200710479573717</v>
      </c>
      <c r="Q157" s="91" t="str">
        <f>IFERROR(VLOOKUP(Q$4,'Critical care'!$AB$3:$AI$17,7,FALSE),"")</f>
        <v/>
      </c>
      <c r="Z157" s="171"/>
      <c r="AA157" s="171"/>
      <c r="AB157" s="171"/>
      <c r="AC157" s="171"/>
    </row>
    <row r="158" spans="2:29" ht="7.5" customHeight="1" x14ac:dyDescent="0.35">
      <c r="B158" s="168"/>
      <c r="Z158" s="171"/>
      <c r="AA158" s="171"/>
      <c r="AB158" s="171"/>
      <c r="AC158" s="171"/>
    </row>
    <row r="159" spans="2:29" x14ac:dyDescent="0.35">
      <c r="B159" s="168"/>
      <c r="C159" s="12" t="s">
        <v>17</v>
      </c>
      <c r="D159" s="122">
        <v>620.57142857142856</v>
      </c>
      <c r="E159" s="122">
        <v>595.57142857142856</v>
      </c>
      <c r="F159" s="122">
        <v>582.42857142857144</v>
      </c>
      <c r="G159" s="122">
        <v>780.85714285714289</v>
      </c>
      <c r="H159" s="122">
        <v>647</v>
      </c>
      <c r="I159" s="122">
        <v>571.42857142857144</v>
      </c>
      <c r="J159" s="122">
        <v>617.85714285714289</v>
      </c>
      <c r="K159" s="122">
        <v>663.71428571428567</v>
      </c>
      <c r="L159" s="122">
        <v>650.71428571428567</v>
      </c>
      <c r="M159" s="122">
        <v>683.28571428571433</v>
      </c>
      <c r="N159" s="122">
        <v>675.14285714285711</v>
      </c>
      <c r="O159" s="122">
        <v>695.28571428571433</v>
      </c>
      <c r="P159" s="122">
        <v>669.14285714285711</v>
      </c>
      <c r="Z159" s="171"/>
      <c r="AA159" s="171"/>
      <c r="AB159" s="171"/>
      <c r="AC159" s="171"/>
    </row>
    <row r="160" spans="2:29" x14ac:dyDescent="0.35">
      <c r="B160" s="168"/>
      <c r="C160" s="1" t="s">
        <v>283</v>
      </c>
      <c r="D160" s="86">
        <v>1160.4285714285713</v>
      </c>
      <c r="E160" s="86">
        <v>1100.1428571428571</v>
      </c>
      <c r="F160" s="86">
        <v>988</v>
      </c>
      <c r="G160" s="86">
        <v>1053.7142857142858</v>
      </c>
      <c r="H160" s="86">
        <v>955.57142857142856</v>
      </c>
      <c r="I160" s="86">
        <v>850.85714285714289</v>
      </c>
      <c r="J160" s="86">
        <v>767.42857142857144</v>
      </c>
      <c r="K160" s="86">
        <v>779.28571428571433</v>
      </c>
      <c r="L160" s="86">
        <v>850.42857142857144</v>
      </c>
      <c r="M160" s="86">
        <v>1013.1428571428571</v>
      </c>
      <c r="N160" s="86">
        <v>1182.5714285714287</v>
      </c>
      <c r="O160" s="86">
        <v>1266.5714285714287</v>
      </c>
      <c r="P160" s="86">
        <v>1313</v>
      </c>
      <c r="Z160" s="171"/>
      <c r="AA160" s="171"/>
      <c r="AB160" s="171"/>
      <c r="AC160" s="171"/>
    </row>
    <row r="161" spans="2:29" ht="7.5" customHeight="1" x14ac:dyDescent="0.35">
      <c r="B161" s="168"/>
      <c r="C161" s="1"/>
      <c r="Z161" s="171"/>
      <c r="AA161" s="171"/>
      <c r="AB161" s="171"/>
      <c r="AC161" s="171"/>
    </row>
    <row r="162" spans="2:29" x14ac:dyDescent="0.35">
      <c r="B162" s="168"/>
      <c r="C162" s="16" t="s">
        <v>295</v>
      </c>
      <c r="D162" s="135">
        <f>IFERROR(VLOOKUP(D$4,'Critical care'!$BM$5:$BU$18,2,FALSE),"")</f>
        <v>766.57142857142856</v>
      </c>
      <c r="E162" s="135">
        <f>IFERROR(VLOOKUP(E$4,'Critical care'!$BM$5:$BU$18,2,FALSE),"")</f>
        <v>770.57142857142856</v>
      </c>
      <c r="F162" s="135">
        <f>IFERROR(VLOOKUP(F$4,'Critical care'!$BM$5:$BU$18,2,FALSE),"")</f>
        <v>801.71428571428567</v>
      </c>
      <c r="G162" s="135">
        <f>IFERROR(VLOOKUP(G$4,'Critical care'!$BM$5:$BU$18,2,FALSE),"")</f>
        <v>972.71428571428567</v>
      </c>
      <c r="H162" s="135">
        <f>IFERROR(VLOOKUP(H$4,'Critical care'!$BM$5:$BU$18,2,FALSE),"")</f>
        <v>982</v>
      </c>
      <c r="I162" s="135">
        <f>IFERROR(VLOOKUP(I$4,'Critical care'!$BM$5:$BU$18,2,FALSE),"")</f>
        <v>893.85714285714289</v>
      </c>
      <c r="J162" s="135">
        <f>IFERROR(VLOOKUP(J$4,'Critical care'!$BM$5:$BU$18,2,FALSE),"")</f>
        <v>939</v>
      </c>
      <c r="K162" s="135">
        <f>IFERROR(VLOOKUP(K$4,'Critical care'!$BM$5:$BU$18,2,FALSE),"")</f>
        <v>1002.4285714285714</v>
      </c>
      <c r="L162" s="135">
        <f>IFERROR(VLOOKUP(L$4,'Critical care'!$BM$5:$BU$18,2,FALSE),"")</f>
        <v>1015.5714285714286</v>
      </c>
      <c r="M162" s="135">
        <f>IFERROR(VLOOKUP(M$4,'Critical care'!$BM$5:$BU$18,2,FALSE),"")</f>
        <v>980.85714285714289</v>
      </c>
      <c r="N162" s="135">
        <f>IFERROR(VLOOKUP(N$4,'Critical care'!$BM$5:$BU$18,2,FALSE),"")</f>
        <v>959.71428571428567</v>
      </c>
      <c r="O162" s="135">
        <f>IFERROR(VLOOKUP(O$4,'Critical care'!$BM$5:$BU$18,2,FALSE),"")</f>
        <v>962.42857142857144</v>
      </c>
      <c r="P162" s="135">
        <f>IFERROR(VLOOKUP(P$4,'Critical care'!$BM$5:$BU$18,2,FALSE),"")</f>
        <v>961.71428571428567</v>
      </c>
      <c r="Q162" s="92" t="str">
        <f>IFERROR(VLOOKUP(Q$4,'Critical care'!$BM$5:$BT$19,2,FALSE),"")</f>
        <v/>
      </c>
      <c r="Z162" s="171"/>
      <c r="AA162" s="171"/>
      <c r="AB162" s="171"/>
      <c r="AC162" s="171"/>
    </row>
    <row r="163" spans="2:29" x14ac:dyDescent="0.35">
      <c r="B163" s="168"/>
      <c r="C163" s="1" t="s">
        <v>1</v>
      </c>
      <c r="D163" s="155">
        <f>IFERROR(VLOOKUP(D$4,'Critical care'!$BM$5:$BU$18,3,FALSE),"")</f>
        <v>115.85714285714286</v>
      </c>
      <c r="E163" s="155">
        <f>IFERROR(VLOOKUP(E$4,'Critical care'!$BM$5:$BU$18,3,FALSE),"")</f>
        <v>109.71428571428571</v>
      </c>
      <c r="F163" s="155">
        <f>IFERROR(VLOOKUP(F$4,'Critical care'!$BM$5:$BU$18,3,FALSE),"")</f>
        <v>128.28571428571428</v>
      </c>
      <c r="G163" s="155">
        <f>IFERROR(VLOOKUP(G$4,'Critical care'!$BM$5:$BU$18,3,FALSE),"")</f>
        <v>172.28571428571428</v>
      </c>
      <c r="H163" s="155">
        <f>IFERROR(VLOOKUP(H$4,'Critical care'!$BM$5:$BU$18,3,FALSE),"")</f>
        <v>166</v>
      </c>
      <c r="I163" s="155">
        <f>IFERROR(VLOOKUP(I$4,'Critical care'!$BM$5:$BU$18,3,FALSE),"")</f>
        <v>139.14285714285714</v>
      </c>
      <c r="J163" s="155">
        <f>IFERROR(VLOOKUP(J$4,'Critical care'!$BM$5:$BU$18,3,FALSE),"")</f>
        <v>141.71428571428572</v>
      </c>
      <c r="K163" s="155">
        <f>IFERROR(VLOOKUP(K$4,'Critical care'!$BM$5:$BU$18,3,FALSE),"")</f>
        <v>166.14285714285714</v>
      </c>
      <c r="L163" s="155">
        <f>IFERROR(VLOOKUP(L$4,'Critical care'!$BM$5:$BU$18,3,FALSE),"")</f>
        <v>189.14285714285714</v>
      </c>
      <c r="M163" s="155">
        <f>IFERROR(VLOOKUP(M$4,'Critical care'!$BM$5:$BU$18,3,FALSE),"")</f>
        <v>193.85714285714286</v>
      </c>
      <c r="N163" s="155">
        <f>IFERROR(VLOOKUP(N$4,'Critical care'!$BM$5:$BU$18,3,FALSE),"")</f>
        <v>171.71428571428572</v>
      </c>
      <c r="O163" s="155">
        <f>IFERROR(VLOOKUP(O$4,'Critical care'!$BM$5:$BU$18,3,FALSE),"")</f>
        <v>176</v>
      </c>
      <c r="P163" s="155">
        <f>IFERROR(VLOOKUP(P$4,'Critical care'!$BM$5:$BU$18,3,FALSE),"")</f>
        <v>181.42857142857142</v>
      </c>
      <c r="Q163" s="89" t="str">
        <f>IFERROR(VLOOKUP(Q$4,'Critical care'!$BM$5:$BT$19,3,FALSE),"")</f>
        <v/>
      </c>
      <c r="Z163" s="171"/>
      <c r="AA163" s="171"/>
      <c r="AB163" s="171"/>
      <c r="AC163" s="171"/>
    </row>
    <row r="164" spans="2:29" x14ac:dyDescent="0.35">
      <c r="B164" s="168"/>
      <c r="C164" s="1" t="s">
        <v>220</v>
      </c>
      <c r="D164" s="155">
        <f>IFERROR(VLOOKUP(D$4,'Critical care'!$BM$5:$BU$18,4,FALSE),"")</f>
        <v>139.57142857142858</v>
      </c>
      <c r="E164" s="155">
        <f>IFERROR(VLOOKUP(E$4,'Critical care'!$BM$5:$BU$18,4,FALSE),"")</f>
        <v>148.28571428571428</v>
      </c>
      <c r="F164" s="155">
        <f>IFERROR(VLOOKUP(F$4,'Critical care'!$BM$5:$BU$18,4,FALSE),"")</f>
        <v>143.28571428571428</v>
      </c>
      <c r="G164" s="155">
        <f>IFERROR(VLOOKUP(G$4,'Critical care'!$BM$5:$BU$18,4,FALSE),"")</f>
        <v>169.14285714285714</v>
      </c>
      <c r="H164" s="155">
        <f>IFERROR(VLOOKUP(H$4,'Critical care'!$BM$5:$BU$18,4,FALSE),"")</f>
        <v>182.42857142857142</v>
      </c>
      <c r="I164" s="155">
        <f>IFERROR(VLOOKUP(I$4,'Critical care'!$BM$5:$BU$18,4,FALSE),"")</f>
        <v>157.28571428571428</v>
      </c>
      <c r="J164" s="155">
        <f>IFERROR(VLOOKUP(J$4,'Critical care'!$BM$5:$BU$18,4,FALSE),"")</f>
        <v>163.14285714285714</v>
      </c>
      <c r="K164" s="155">
        <f>IFERROR(VLOOKUP(K$4,'Critical care'!$BM$5:$BU$18,4,FALSE),"")</f>
        <v>180.57142857142858</v>
      </c>
      <c r="L164" s="155">
        <f>IFERROR(VLOOKUP(L$4,'Critical care'!$BM$5:$BU$18,4,FALSE),"")</f>
        <v>172</v>
      </c>
      <c r="M164" s="155">
        <f>IFERROR(VLOOKUP(M$4,'Critical care'!$BM$5:$BU$18,4,FALSE),"")</f>
        <v>180.85714285714286</v>
      </c>
      <c r="N164" s="155">
        <f>IFERROR(VLOOKUP(N$4,'Critical care'!$BM$5:$BU$18,4,FALSE),"")</f>
        <v>201.28571428571428</v>
      </c>
      <c r="O164" s="155">
        <f>IFERROR(VLOOKUP(O$4,'Critical care'!$BM$5:$BU$18,4,FALSE),"")</f>
        <v>184.42857142857142</v>
      </c>
      <c r="P164" s="155">
        <f>IFERROR(VLOOKUP(P$4,'Critical care'!$BM$5:$BU$18,4,FALSE),"")</f>
        <v>179.42857142857142</v>
      </c>
      <c r="Q164" s="89" t="str">
        <f>IFERROR(VLOOKUP(Q$4,'Critical care'!$BM$5:$BT$19,4,FALSE),"")</f>
        <v/>
      </c>
      <c r="Z164" s="171"/>
      <c r="AA164" s="171"/>
      <c r="AB164" s="171"/>
      <c r="AC164" s="171"/>
    </row>
    <row r="165" spans="2:29" x14ac:dyDescent="0.35">
      <c r="B165" s="168"/>
      <c r="C165" s="1" t="s">
        <v>248</v>
      </c>
      <c r="D165" s="155">
        <f>IFERROR(VLOOKUP(D$4,'Critical care'!$BM$5:$BU$18,8,FALSE),"")</f>
        <v>87.142857142857139</v>
      </c>
      <c r="E165" s="155">
        <f>IFERROR(VLOOKUP(E$4,'Critical care'!$BM$5:$BU$18,8,FALSE),"")</f>
        <v>78</v>
      </c>
      <c r="F165" s="155">
        <f>IFERROR(VLOOKUP(F$4,'Critical care'!$BM$5:$BU$18,8,FALSE),"")</f>
        <v>79.285714285714292</v>
      </c>
      <c r="G165" s="155">
        <f>IFERROR(VLOOKUP(G$4,'Critical care'!$BM$5:$BU$18,8,FALSE),"")</f>
        <v>83.571428571428569</v>
      </c>
      <c r="H165" s="155">
        <f>IFERROR(VLOOKUP(H$4,'Critical care'!$BM$5:$BU$18,8,FALSE),"")</f>
        <v>89.714285714285708</v>
      </c>
      <c r="I165" s="155">
        <f>IFERROR(VLOOKUP(I$4,'Critical care'!$BM$5:$BU$18,8,FALSE),"")</f>
        <v>89</v>
      </c>
      <c r="J165" s="155">
        <f>IFERROR(VLOOKUP(J$4,'Critical care'!$BM$5:$BU$18,8,FALSE),"")</f>
        <v>99.142857142857139</v>
      </c>
      <c r="K165" s="155">
        <f>IFERROR(VLOOKUP(K$4,'Critical care'!$BM$5:$BU$18,8,FALSE),"")</f>
        <v>105.57142857142857</v>
      </c>
      <c r="L165" s="155">
        <f>IFERROR(VLOOKUP(L$4,'Critical care'!$BM$5:$BU$18,8,FALSE),"")</f>
        <v>98.571428571428569</v>
      </c>
      <c r="M165" s="155">
        <f>IFERROR(VLOOKUP(M$4,'Critical care'!$BM$5:$BU$18,8,FALSE),"")</f>
        <v>102.14285714285714</v>
      </c>
      <c r="N165" s="155">
        <f>IFERROR(VLOOKUP(N$4,'Critical care'!$BM$5:$BU$18,8,FALSE),"")</f>
        <v>97.857142857142861</v>
      </c>
      <c r="O165" s="155">
        <f>IFERROR(VLOOKUP(O$4,'Critical care'!$BM$5:$BU$18,8,FALSE),"")</f>
        <v>95.428571428571431</v>
      </c>
      <c r="P165" s="155">
        <f>IFERROR(VLOOKUP(P$4,'Critical care'!$BM$5:$BU$18,8,FALSE),"")</f>
        <v>88</v>
      </c>
      <c r="Q165" s="89"/>
      <c r="Z165" s="171"/>
      <c r="AA165" s="171"/>
      <c r="AB165" s="171"/>
      <c r="AC165" s="171"/>
    </row>
    <row r="166" spans="2:29" x14ac:dyDescent="0.35">
      <c r="B166" s="168"/>
      <c r="C166" s="1" t="s">
        <v>249</v>
      </c>
      <c r="D166" s="155">
        <f>IFERROR(VLOOKUP(D$4,'Critical care'!$BM$5:$BU$18,5,FALSE),"")</f>
        <v>133.14285714285714</v>
      </c>
      <c r="E166" s="155">
        <f>IFERROR(VLOOKUP(E$4,'Critical care'!$BM$5:$BU$18,5,FALSE),"")</f>
        <v>135.42857142857142</v>
      </c>
      <c r="F166" s="155">
        <f>IFERROR(VLOOKUP(F$4,'Critical care'!$BM$5:$BU$18,5,FALSE),"")</f>
        <v>151.57142857142858</v>
      </c>
      <c r="G166" s="155">
        <f>IFERROR(VLOOKUP(G$4,'Critical care'!$BM$5:$BU$18,5,FALSE),"")</f>
        <v>182.14285714285714</v>
      </c>
      <c r="H166" s="155">
        <f>IFERROR(VLOOKUP(H$4,'Critical care'!$BM$5:$BU$18,5,FALSE),"")</f>
        <v>184.57142857142858</v>
      </c>
      <c r="I166" s="155">
        <f>IFERROR(VLOOKUP(I$4,'Critical care'!$BM$5:$BU$18,5,FALSE),"")</f>
        <v>169.57142857142858</v>
      </c>
      <c r="J166" s="155">
        <f>IFERROR(VLOOKUP(J$4,'Critical care'!$BM$5:$BU$18,5,FALSE),"")</f>
        <v>174.28571428571428</v>
      </c>
      <c r="K166" s="155">
        <f>IFERROR(VLOOKUP(K$4,'Critical care'!$BM$5:$BU$18,5,FALSE),"")</f>
        <v>179.71428571428572</v>
      </c>
      <c r="L166" s="155">
        <f>IFERROR(VLOOKUP(L$4,'Critical care'!$BM$5:$BU$18,5,FALSE),"")</f>
        <v>200.85714285714286</v>
      </c>
      <c r="M166" s="155">
        <f>IFERROR(VLOOKUP(M$4,'Critical care'!$BM$5:$BU$18,5,FALSE),"")</f>
        <v>189.57142857142858</v>
      </c>
      <c r="N166" s="155">
        <f>IFERROR(VLOOKUP(N$4,'Critical care'!$BM$5:$BU$18,5,FALSE),"")</f>
        <v>178.85714285714286</v>
      </c>
      <c r="O166" s="155">
        <f>IFERROR(VLOOKUP(O$4,'Critical care'!$BM$5:$BU$18,5,FALSE),"")</f>
        <v>194.28571428571428</v>
      </c>
      <c r="P166" s="155">
        <f>IFERROR(VLOOKUP(P$4,'Critical care'!$BM$5:$BU$18,5,FALSE),"")</f>
        <v>196.85714285714286</v>
      </c>
      <c r="Q166" s="89"/>
      <c r="Z166" s="171"/>
      <c r="AA166" s="171"/>
      <c r="AB166" s="171"/>
      <c r="AC166" s="171"/>
    </row>
    <row r="167" spans="2:29" x14ac:dyDescent="0.35">
      <c r="B167" s="168"/>
      <c r="C167" s="1" t="s">
        <v>251</v>
      </c>
      <c r="D167" s="155">
        <f>IFERROR(VLOOKUP(D$4,'Critical care'!$BM$5:$BU$18,9,FALSE),"")</f>
        <v>133.57142857142858</v>
      </c>
      <c r="E167" s="155">
        <f>IFERROR(VLOOKUP(E$4,'Critical care'!$BM$5:$BU$18,9,FALSE),"")</f>
        <v>123.85714285714286</v>
      </c>
      <c r="F167" s="155">
        <f>IFERROR(VLOOKUP(F$4,'Critical care'!$BM$5:$BU$18,9,FALSE),"")</f>
        <v>125.71428571428571</v>
      </c>
      <c r="G167" s="155">
        <f>IFERROR(VLOOKUP(G$4,'Critical care'!$BM$5:$BU$18,9,FALSE),"")</f>
        <v>162.57142857142858</v>
      </c>
      <c r="H167" s="155">
        <f>IFERROR(VLOOKUP(H$4,'Critical care'!$BM$5:$BU$18,9,FALSE),"")</f>
        <v>166.85714285714286</v>
      </c>
      <c r="I167" s="155">
        <f>IFERROR(VLOOKUP(I$4,'Critical care'!$BM$5:$BU$18,9,FALSE),"")</f>
        <v>150.28571428571428</v>
      </c>
      <c r="J167" s="155">
        <f>IFERROR(VLOOKUP(J$4,'Critical care'!$BM$5:$BU$18,9,FALSE),"")</f>
        <v>151.57142857142858</v>
      </c>
      <c r="K167" s="155">
        <f>IFERROR(VLOOKUP(K$4,'Critical care'!$BM$5:$BU$18,9,FALSE),"")</f>
        <v>171.14285714285714</v>
      </c>
      <c r="L167" s="155">
        <f>IFERROR(VLOOKUP(L$4,'Critical care'!$BM$5:$BU$18,9,FALSE),"")</f>
        <v>159.14285714285714</v>
      </c>
      <c r="M167" s="155">
        <f>IFERROR(VLOOKUP(M$4,'Critical care'!$BM$5:$BU$18,9,FALSE),"")</f>
        <v>136.71428571428572</v>
      </c>
      <c r="N167" s="155">
        <f>IFERROR(VLOOKUP(N$4,'Critical care'!$BM$5:$BU$18,9,FALSE),"")</f>
        <v>134.71428571428572</v>
      </c>
      <c r="O167" s="155">
        <f>IFERROR(VLOOKUP(O$4,'Critical care'!$BM$5:$BU$18,9,FALSE),"")</f>
        <v>129.57142857142858</v>
      </c>
      <c r="P167" s="155">
        <f>IFERROR(VLOOKUP(P$4,'Critical care'!$BM$5:$BU$18,9,FALSE),"")</f>
        <v>131.71428571428572</v>
      </c>
      <c r="Q167" s="89" t="str">
        <f>IFERROR(VLOOKUP(Q$4,'Critical care'!$BM$5:$BT$19,5,FALSE),"")</f>
        <v/>
      </c>
      <c r="Z167" s="171"/>
      <c r="AA167" s="171"/>
      <c r="AB167" s="171"/>
      <c r="AC167" s="171"/>
    </row>
    <row r="168" spans="2:29" x14ac:dyDescent="0.35">
      <c r="B168" s="168"/>
      <c r="C168" s="1" t="s">
        <v>217</v>
      </c>
      <c r="D168" s="155">
        <f>IFERROR(VLOOKUP(D$4,'Critical care'!$BM$5:$BU$18,6,FALSE),"")</f>
        <v>90</v>
      </c>
      <c r="E168" s="155">
        <f>IFERROR(VLOOKUP(E$4,'Critical care'!$BM$5:$BU$18,6,FALSE),"")</f>
        <v>101.28571428571429</v>
      </c>
      <c r="F168" s="155">
        <f>IFERROR(VLOOKUP(F$4,'Critical care'!$BM$5:$BU$18,6,FALSE),"")</f>
        <v>106.14285714285714</v>
      </c>
      <c r="G168" s="155">
        <f>IFERROR(VLOOKUP(G$4,'Critical care'!$BM$5:$BU$18,6,FALSE),"")</f>
        <v>120.71428571428571</v>
      </c>
      <c r="H168" s="155">
        <f>IFERROR(VLOOKUP(H$4,'Critical care'!$BM$5:$BU$18,6,FALSE),"")</f>
        <v>111.85714285714286</v>
      </c>
      <c r="I168" s="155">
        <f>IFERROR(VLOOKUP(I$4,'Critical care'!$BM$5:$BU$18,6,FALSE),"")</f>
        <v>113.85714285714286</v>
      </c>
      <c r="J168" s="155">
        <f>IFERROR(VLOOKUP(J$4,'Critical care'!$BM$5:$BU$18,6,FALSE),"")</f>
        <v>124.28571428571429</v>
      </c>
      <c r="K168" s="155">
        <f>IFERROR(VLOOKUP(K$4,'Critical care'!$BM$5:$BU$18,6,FALSE),"")</f>
        <v>110.28571428571429</v>
      </c>
      <c r="L168" s="155">
        <f>IFERROR(VLOOKUP(L$4,'Critical care'!$BM$5:$BU$18,6,FALSE),"")</f>
        <v>104.28571428571429</v>
      </c>
      <c r="M168" s="155">
        <f>IFERROR(VLOOKUP(M$4,'Critical care'!$BM$5:$BU$18,6,FALSE),"")</f>
        <v>99</v>
      </c>
      <c r="N168" s="155">
        <f>IFERROR(VLOOKUP(N$4,'Critical care'!$BM$5:$BU$18,6,FALSE),"")</f>
        <v>93</v>
      </c>
      <c r="O168" s="155">
        <f>IFERROR(VLOOKUP(O$4,'Critical care'!$BM$5:$BU$18,6,FALSE),"")</f>
        <v>105.28571428571429</v>
      </c>
      <c r="P168" s="155">
        <f>IFERROR(VLOOKUP(P$4,'Critical care'!$BM$5:$BU$18,6,FALSE),"")</f>
        <v>101.28571428571429</v>
      </c>
      <c r="Q168" s="89" t="str">
        <f>IFERROR(VLOOKUP(Q$4,'Critical care'!$BM$5:$BT$19,6,FALSE),"")</f>
        <v/>
      </c>
      <c r="Z168" s="49"/>
      <c r="AA168" s="49"/>
      <c r="AB168" s="49"/>
      <c r="AC168" s="49"/>
    </row>
    <row r="169" spans="2:29" x14ac:dyDescent="0.35">
      <c r="B169" s="168"/>
      <c r="C169" s="11" t="s">
        <v>218</v>
      </c>
      <c r="D169" s="155">
        <f>IFERROR(VLOOKUP(D$4,'Critical care'!$BM$5:$BU$18,7,FALSE),"")</f>
        <v>67.285714285714292</v>
      </c>
      <c r="E169" s="155">
        <f>IFERROR(VLOOKUP(E$4,'Critical care'!$BM$5:$BU$18,7,FALSE),"")</f>
        <v>74</v>
      </c>
      <c r="F169" s="155">
        <f>IFERROR(VLOOKUP(F$4,'Critical care'!$BM$5:$BU$18,7,FALSE),"")</f>
        <v>67.428571428571431</v>
      </c>
      <c r="G169" s="155">
        <f>IFERROR(VLOOKUP(G$4,'Critical care'!$BM$5:$BU$18,7,FALSE),"")</f>
        <v>82.285714285714292</v>
      </c>
      <c r="H169" s="155">
        <f>IFERROR(VLOOKUP(H$4,'Critical care'!$BM$5:$BU$18,7,FALSE),"")</f>
        <v>80.571428571428569</v>
      </c>
      <c r="I169" s="155">
        <f>IFERROR(VLOOKUP(I$4,'Critical care'!$BM$5:$BU$18,7,FALSE),"")</f>
        <v>74.714285714285708</v>
      </c>
      <c r="J169" s="155">
        <f>IFERROR(VLOOKUP(J$4,'Critical care'!$BM$5:$BU$18,7,FALSE),"")</f>
        <v>84.857142857142861</v>
      </c>
      <c r="K169" s="155">
        <f>IFERROR(VLOOKUP(K$4,'Critical care'!$BM$5:$BU$18,7,FALSE),"")</f>
        <v>89</v>
      </c>
      <c r="L169" s="155">
        <f>IFERROR(VLOOKUP(L$4,'Critical care'!$BM$5:$BU$18,7,FALSE),"")</f>
        <v>91.571428571428569</v>
      </c>
      <c r="M169" s="155">
        <f>IFERROR(VLOOKUP(M$4,'Critical care'!$BM$5:$BU$18,7,FALSE),"")</f>
        <v>78.714285714285708</v>
      </c>
      <c r="N169" s="155">
        <f>IFERROR(VLOOKUP(N$4,'Critical care'!$BM$5:$BU$18,7,FALSE),"")</f>
        <v>82.285714285714292</v>
      </c>
      <c r="O169" s="155">
        <f>IFERROR(VLOOKUP(O$4,'Critical care'!$BM$5:$BU$18,7,FALSE),"")</f>
        <v>77.428571428571431</v>
      </c>
      <c r="P169" s="155">
        <f>IFERROR(VLOOKUP(P$4,'Critical care'!$BM$5:$BU$18,7,FALSE),"")</f>
        <v>83</v>
      </c>
      <c r="Q169" s="89" t="str">
        <f>IFERROR(VLOOKUP(Q$4,'Critical care'!$BM$5:$BT$19,7,FALSE),"")</f>
        <v/>
      </c>
      <c r="Z169" s="49"/>
      <c r="AA169" s="49"/>
      <c r="AB169" s="49"/>
      <c r="AC169" s="49"/>
    </row>
    <row r="170" spans="2:29" ht="30" customHeight="1" x14ac:dyDescent="0.35">
      <c r="C170" s="1"/>
    </row>
    <row r="171" spans="2:29" ht="15" customHeight="1" x14ac:dyDescent="0.35">
      <c r="B171" s="168" t="s">
        <v>15</v>
      </c>
      <c r="C171" s="12" t="s">
        <v>16</v>
      </c>
      <c r="D171" s="125">
        <v>0.86875315497223626</v>
      </c>
      <c r="E171" s="125">
        <v>0.85352255448555503</v>
      </c>
      <c r="F171" s="125">
        <v>0.85447195553309752</v>
      </c>
      <c r="G171" s="125">
        <v>0.82015503875968987</v>
      </c>
      <c r="H171" s="125">
        <v>0.80145152928978747</v>
      </c>
      <c r="I171" s="125">
        <v>0.8007284079084287</v>
      </c>
      <c r="J171" s="125">
        <v>0.79655712050078242</v>
      </c>
      <c r="K171" s="125">
        <v>0.77703398558187431</v>
      </c>
      <c r="L171" s="125">
        <v>0.78215767634854771</v>
      </c>
      <c r="M171" s="125">
        <v>0.7951370926021728</v>
      </c>
      <c r="N171" s="125">
        <v>0.75413223140495866</v>
      </c>
      <c r="O171" s="125">
        <v>0.77308294209702655</v>
      </c>
      <c r="P171" s="125">
        <v>0.78416149068322982</v>
      </c>
      <c r="Q171" s="3"/>
      <c r="R171" s="3"/>
      <c r="Z171" s="169" t="s">
        <v>32</v>
      </c>
      <c r="AA171" s="169"/>
      <c r="AB171" s="169"/>
      <c r="AC171" s="169"/>
    </row>
    <row r="172" spans="2:29" x14ac:dyDescent="0.35">
      <c r="B172" s="168"/>
      <c r="C172" s="1" t="s">
        <v>283</v>
      </c>
      <c r="D172" s="126">
        <v>0.63000931966449203</v>
      </c>
      <c r="E172" s="126">
        <v>0.63224068253255505</v>
      </c>
      <c r="F172" s="126">
        <v>0.65779981965734902</v>
      </c>
      <c r="G172" s="126">
        <v>0.64035087719298245</v>
      </c>
      <c r="H172" s="126">
        <v>0.62046204620462042</v>
      </c>
      <c r="I172" s="126">
        <v>0.63027656477438132</v>
      </c>
      <c r="J172" s="126">
        <v>0.67001003009027083</v>
      </c>
      <c r="K172" s="126">
        <v>0.70876826722338204</v>
      </c>
      <c r="L172" s="126">
        <v>0.71752021563342316</v>
      </c>
      <c r="M172" s="126">
        <v>0.68656716417910446</v>
      </c>
      <c r="N172" s="126">
        <v>0.68619022031166044</v>
      </c>
      <c r="O172" s="126">
        <v>0.6808176100628931</v>
      </c>
      <c r="P172" s="126">
        <v>0.71501272264631044</v>
      </c>
      <c r="Z172" s="169"/>
      <c r="AA172" s="169"/>
      <c r="AB172" s="169"/>
      <c r="AC172" s="169"/>
    </row>
    <row r="173" spans="2:29" ht="7.5" customHeight="1" x14ac:dyDescent="0.35">
      <c r="B173" s="168"/>
      <c r="D173" s="30">
        <v>0.85</v>
      </c>
      <c r="E173" s="30">
        <v>0.85</v>
      </c>
      <c r="F173" s="30">
        <v>0.85</v>
      </c>
      <c r="G173" s="30">
        <v>0.85</v>
      </c>
      <c r="H173" s="30">
        <v>0.85</v>
      </c>
      <c r="I173" s="30">
        <v>0.85</v>
      </c>
      <c r="J173" s="30">
        <v>0.85</v>
      </c>
      <c r="K173" s="30">
        <v>0.85</v>
      </c>
      <c r="L173" s="30">
        <v>0.85</v>
      </c>
      <c r="M173" s="30">
        <v>0.85</v>
      </c>
      <c r="N173" s="30">
        <v>0.85</v>
      </c>
      <c r="O173" s="30">
        <v>0.85</v>
      </c>
      <c r="P173" s="30">
        <v>0.85</v>
      </c>
      <c r="Q173" s="30">
        <v>0.85</v>
      </c>
      <c r="Z173" s="169"/>
      <c r="AA173" s="169"/>
      <c r="AB173" s="169"/>
      <c r="AC173" s="169"/>
    </row>
    <row r="174" spans="2:29" x14ac:dyDescent="0.35">
      <c r="B174" s="168"/>
      <c r="C174" s="16" t="s">
        <v>295</v>
      </c>
      <c r="D174" s="63">
        <f>IFERROR(VLOOKUP(D$4,PICU!$AA$5:$AI$18,2,FALSE),"")</f>
        <v>0.83073394495412844</v>
      </c>
      <c r="E174" s="63">
        <f>IFERROR(VLOOKUP(E$4,PICU!$AA$5:$AI$18,2,FALSE),"")</f>
        <v>0.80982424515547546</v>
      </c>
      <c r="F174" s="63">
        <f>IFERROR(VLOOKUP(F$4,PICU!$AA$5:$AI$18,2,FALSE),"")</f>
        <v>0.81207133058984915</v>
      </c>
      <c r="G174" s="63">
        <f>IFERROR(VLOOKUP(G$4,PICU!$AA$5:$AI$18,2,FALSE),"")</f>
        <v>0.79843173431734316</v>
      </c>
      <c r="H174" s="63">
        <f>IFERROR(VLOOKUP(H$4,PICU!$AA$5:$AI$18,2,FALSE),"")</f>
        <v>0.75092592592592589</v>
      </c>
      <c r="I174" s="63">
        <f>IFERROR(VLOOKUP(I$4,PICU!$AA$5:$AI$18,2,FALSE),"")</f>
        <v>0.73628884826325414</v>
      </c>
      <c r="J174" s="63">
        <f>IFERROR(VLOOKUP(J$4,PICU!$AA$5:$AI$18,2,FALSE),"")</f>
        <v>0.74499089253187611</v>
      </c>
      <c r="K174" s="63">
        <f>IFERROR(VLOOKUP(K$4,PICU!$AA$5:$AI$18,2,FALSE),"")</f>
        <v>0.75262917238225879</v>
      </c>
      <c r="L174" s="63">
        <f>IFERROR(VLOOKUP(L$4,PICU!$AA$5:$AI$18,2,FALSE),"")</f>
        <v>0.74309016764839153</v>
      </c>
      <c r="M174" s="63">
        <f>IFERROR(VLOOKUP(M$4,PICU!$AA$5:$AI$18,2,FALSE),"")</f>
        <v>0.75304191077061744</v>
      </c>
      <c r="N174" s="63">
        <f>IFERROR(VLOOKUP(N$4,PICU!$AA$5:$AI$18,2,FALSE),"")</f>
        <v>0.71746880570409988</v>
      </c>
      <c r="O174" s="63">
        <f>IFERROR(VLOOKUP(O$4,PICU!$AA$5:$AI$18,2,FALSE),"")</f>
        <v>0.68744394618834082</v>
      </c>
      <c r="P174" s="63">
        <f>IFERROR(VLOOKUP(P$4,PICU!$AA$5:$AI$18,2,FALSE),"")</f>
        <v>0.710799819249887</v>
      </c>
      <c r="Q174" s="93" t="str">
        <f>IFERROR(VLOOKUP(Q$4,PICU!$AA$5:$AH$19,2,FALSE),"")</f>
        <v/>
      </c>
      <c r="Z174" s="169"/>
      <c r="AA174" s="169"/>
      <c r="AB174" s="169"/>
      <c r="AC174" s="169"/>
    </row>
    <row r="175" spans="2:29" x14ac:dyDescent="0.35">
      <c r="B175" s="168"/>
      <c r="C175" s="1" t="s">
        <v>1</v>
      </c>
      <c r="D175" s="156">
        <f>IFERROR(VLOOKUP(D$4,PICU!$AA$5:$AI$18,3,FALSE),"")</f>
        <v>0.84824902723735407</v>
      </c>
      <c r="E175" s="156">
        <f>IFERROR(VLOOKUP(E$4,PICU!$AA$5:$AI$18,3,FALSE),"")</f>
        <v>0.79014598540145986</v>
      </c>
      <c r="F175" s="156">
        <f>IFERROR(VLOOKUP(F$4,PICU!$AA$5:$AI$18,3,FALSE),"")</f>
        <v>0.8192090395480226</v>
      </c>
      <c r="G175" s="156">
        <f>IFERROR(VLOOKUP(G$4,PICU!$AA$5:$AI$18,3,FALSE),"")</f>
        <v>0.81070745697896751</v>
      </c>
      <c r="H175" s="156">
        <f>IFERROR(VLOOKUP(H$4,PICU!$AA$5:$AI$18,3,FALSE),"")</f>
        <v>0.63513513513513509</v>
      </c>
      <c r="I175" s="156">
        <f>IFERROR(VLOOKUP(I$4,PICU!$AA$5:$AI$18,3,FALSE),"")</f>
        <v>0.61776061776061775</v>
      </c>
      <c r="J175" s="156">
        <f>IFERROR(VLOOKUP(J$4,PICU!$AA$5:$AI$18,3,FALSE),"")</f>
        <v>0.66216216216216217</v>
      </c>
      <c r="K175" s="156">
        <f>IFERROR(VLOOKUP(K$4,PICU!$AA$5:$AI$18,3,FALSE),"")</f>
        <v>0.66986564299424189</v>
      </c>
      <c r="L175" s="156">
        <f>IFERROR(VLOOKUP(L$4,PICU!$AA$5:$AI$18,3,FALSE),"")</f>
        <v>0.69202898550724634</v>
      </c>
      <c r="M175" s="156">
        <f>IFERROR(VLOOKUP(M$4,PICU!$AA$5:$AI$18,3,FALSE),"")</f>
        <v>0.71846435100548445</v>
      </c>
      <c r="N175" s="156">
        <f>IFERROR(VLOOKUP(N$4,PICU!$AA$5:$AI$18,3,FALSE),"")</f>
        <v>0.70181818181818179</v>
      </c>
      <c r="O175" s="156">
        <f>IFERROR(VLOOKUP(O$4,PICU!$AA$5:$AI$18,3,FALSE),"")</f>
        <v>0.62206148282097651</v>
      </c>
      <c r="P175" s="156">
        <f>IFERROR(VLOOKUP(P$4,PICU!$AA$5:$AI$18,3,FALSE),"")</f>
        <v>0.62567811934900541</v>
      </c>
      <c r="Q175" s="69" t="str">
        <f>IFERROR(VLOOKUP(Q$4,PICU!$AA$5:$AH$19,3,FALSE),"")</f>
        <v/>
      </c>
      <c r="Z175" s="171" t="s">
        <v>324</v>
      </c>
      <c r="AA175" s="171"/>
      <c r="AB175" s="171"/>
      <c r="AC175" s="171"/>
    </row>
    <row r="176" spans="2:29" x14ac:dyDescent="0.35">
      <c r="B176" s="168"/>
      <c r="C176" s="1" t="s">
        <v>220</v>
      </c>
      <c r="D176" s="156">
        <f>IFERROR(VLOOKUP(D$4,PICU!$AA$5:$AI$18,4,FALSE),"")</f>
        <v>0.87472035794183445</v>
      </c>
      <c r="E176" s="156">
        <f>IFERROR(VLOOKUP(E$4,PICU!$AA$5:$AI$18,4,FALSE),"")</f>
        <v>0.8616071428571429</v>
      </c>
      <c r="F176" s="156">
        <f>IFERROR(VLOOKUP(F$4,PICU!$AA$5:$AI$18,4,FALSE),"")</f>
        <v>0.83892617449664431</v>
      </c>
      <c r="G176" s="156">
        <f>IFERROR(VLOOKUP(G$4,PICU!$AA$5:$AI$18,4,FALSE),"")</f>
        <v>0.84684684684684686</v>
      </c>
      <c r="H176" s="156">
        <f>IFERROR(VLOOKUP(H$4,PICU!$AA$5:$AI$18,4,FALSE),"")</f>
        <v>0.82222222222222219</v>
      </c>
      <c r="I176" s="156">
        <f>IFERROR(VLOOKUP(I$4,PICU!$AA$5:$AI$18,4,FALSE),"")</f>
        <v>0.75413223140495866</v>
      </c>
      <c r="J176" s="156">
        <f>IFERROR(VLOOKUP(J$4,PICU!$AA$5:$AI$18,4,FALSE),"")</f>
        <v>0.76954732510288071</v>
      </c>
      <c r="K176" s="156">
        <f>IFERROR(VLOOKUP(K$4,PICU!$AA$5:$AI$18,4,FALSE),"")</f>
        <v>0.74586776859504134</v>
      </c>
      <c r="L176" s="156">
        <f>IFERROR(VLOOKUP(L$4,PICU!$AA$5:$AI$18,4,FALSE),"")</f>
        <v>0.71063829787234045</v>
      </c>
      <c r="M176" s="156">
        <f>IFERROR(VLOOKUP(M$4,PICU!$AA$5:$AI$18,4,FALSE),"")</f>
        <v>0.76939203354297692</v>
      </c>
      <c r="N176" s="156">
        <f>IFERROR(VLOOKUP(N$4,PICU!$AA$5:$AI$18,4,FALSE),"")</f>
        <v>0.7306889352818372</v>
      </c>
      <c r="O176" s="156">
        <f>IFERROR(VLOOKUP(O$4,PICU!$AA$5:$AI$18,4,FALSE),"")</f>
        <v>0.73773987206823033</v>
      </c>
      <c r="P176" s="156">
        <f>IFERROR(VLOOKUP(P$4,PICU!$AA$5:$AI$18,4,FALSE),"")</f>
        <v>0.76532769556025371</v>
      </c>
      <c r="Q176" s="69" t="str">
        <f>IFERROR(VLOOKUP(Q$4,PICU!$AA$5:$AH$19,4,FALSE),"")</f>
        <v/>
      </c>
      <c r="Z176" s="171"/>
      <c r="AA176" s="171"/>
      <c r="AB176" s="171"/>
      <c r="AC176" s="171"/>
    </row>
    <row r="177" spans="2:29" x14ac:dyDescent="0.35">
      <c r="B177" s="168"/>
      <c r="C177" s="1" t="s">
        <v>248</v>
      </c>
      <c r="D177" s="156">
        <f>IFERROR(VLOOKUP(D$4,PICU!$AA$5:$AI$18,8,FALSE),"")</f>
        <v>0.33333333333333331</v>
      </c>
      <c r="E177" s="156">
        <f>IFERROR(VLOOKUP(E$4,PICU!$AA$5:$AI$18,8,FALSE),"")</f>
        <v>0.68253968253968256</v>
      </c>
      <c r="F177" s="156">
        <f>IFERROR(VLOOKUP(F$4,PICU!$AA$5:$AI$18,8,FALSE),"")</f>
        <v>0.77419354838709675</v>
      </c>
      <c r="G177" s="156">
        <f>IFERROR(VLOOKUP(G$4,PICU!$AA$5:$AI$18,8,FALSE),"")</f>
        <v>0.58730158730158732</v>
      </c>
      <c r="H177" s="156">
        <f>IFERROR(VLOOKUP(H$4,PICU!$AA$5:$AI$18,8,FALSE),"")</f>
        <v>0.44444444444444442</v>
      </c>
      <c r="I177" s="156">
        <f>IFERROR(VLOOKUP(I$4,PICU!$AA$5:$AI$18,8,FALSE),"")</f>
        <v>0.36507936507936506</v>
      </c>
      <c r="J177" s="156">
        <f>IFERROR(VLOOKUP(J$4,PICU!$AA$5:$AI$18,8,FALSE),"")</f>
        <v>0.33333333333333331</v>
      </c>
      <c r="K177" s="156">
        <f>IFERROR(VLOOKUP(K$4,PICU!$AA$5:$AI$18,8,FALSE),"")</f>
        <v>0.42857142857142855</v>
      </c>
      <c r="L177" s="156">
        <f>IFERROR(VLOOKUP(L$4,PICU!$AA$5:$AI$18,8,FALSE),"")</f>
        <v>0.33333333333333331</v>
      </c>
      <c r="M177" s="156">
        <f>IFERROR(VLOOKUP(M$4,PICU!$AA$5:$AI$18,8,FALSE),"")</f>
        <v>0.49206349206349204</v>
      </c>
      <c r="N177" s="156">
        <f>IFERROR(VLOOKUP(N$4,PICU!$AA$5:$AI$18,8,FALSE),"")</f>
        <v>0.22222222222222221</v>
      </c>
      <c r="O177" s="156">
        <f>IFERROR(VLOOKUP(O$4,PICU!$AA$5:$AI$18,8,FALSE),"")</f>
        <v>0.26984126984126983</v>
      </c>
      <c r="P177" s="156">
        <f>IFERROR(VLOOKUP(P$4,PICU!$AA$5:$AI$18,8,FALSE),"")</f>
        <v>0.23809523809523808</v>
      </c>
      <c r="Q177" s="69"/>
      <c r="Z177" s="171"/>
      <c r="AA177" s="171"/>
      <c r="AB177" s="171"/>
      <c r="AC177" s="171"/>
    </row>
    <row r="178" spans="2:29" x14ac:dyDescent="0.35">
      <c r="B178" s="168"/>
      <c r="C178" s="1" t="s">
        <v>249</v>
      </c>
      <c r="D178" s="156">
        <f>IFERROR(VLOOKUP(D$4,PICU!$AA$5:$AI$18,5,FALSE),"")</f>
        <v>0.73351648351648346</v>
      </c>
      <c r="E178" s="156">
        <f>IFERROR(VLOOKUP(E$4,PICU!$AA$5:$AI$18,5,FALSE),"")</f>
        <v>0.71390374331550799</v>
      </c>
      <c r="F178" s="156">
        <f>IFERROR(VLOOKUP(F$4,PICU!$AA$5:$AI$18,5,FALSE),"")</f>
        <v>0.72777777777777775</v>
      </c>
      <c r="G178" s="156">
        <f>IFERROR(VLOOKUP(G$4,PICU!$AA$5:$AI$18,5,FALSE),"")</f>
        <v>0.70604395604395609</v>
      </c>
      <c r="H178" s="156">
        <f>IFERROR(VLOOKUP(H$4,PICU!$AA$5:$AI$18,5,FALSE),"")</f>
        <v>0.74293785310734461</v>
      </c>
      <c r="I178" s="156">
        <f>IFERROR(VLOOKUP(I$4,PICU!$AA$5:$AI$18,5,FALSE),"")</f>
        <v>0.77521613832853031</v>
      </c>
      <c r="J178" s="156">
        <f>IFERROR(VLOOKUP(J$4,PICU!$AA$5:$AI$18,5,FALSE),"")</f>
        <v>0.78151260504201681</v>
      </c>
      <c r="K178" s="156">
        <f>IFERROR(VLOOKUP(K$4,PICU!$AA$5:$AI$18,5,FALSE),"")</f>
        <v>0.79487179487179482</v>
      </c>
      <c r="L178" s="156">
        <f>IFERROR(VLOOKUP(L$4,PICU!$AA$5:$AI$18,5,FALSE),"")</f>
        <v>0.77653631284916202</v>
      </c>
      <c r="M178" s="156">
        <f>IFERROR(VLOOKUP(M$4,PICU!$AA$5:$AI$18,5,FALSE),"")</f>
        <v>0.76944444444444449</v>
      </c>
      <c r="N178" s="156">
        <f>IFERROR(VLOOKUP(N$4,PICU!$AA$5:$AI$18,5,FALSE),"")</f>
        <v>0.72131147540983609</v>
      </c>
      <c r="O178" s="156">
        <f>IFERROR(VLOOKUP(O$4,PICU!$AA$5:$AI$18,5,FALSE),"")</f>
        <v>0.67329545454545459</v>
      </c>
      <c r="P178" s="156">
        <f>IFERROR(VLOOKUP(P$4,PICU!$AA$5:$AI$18,5,FALSE),"")</f>
        <v>0.70621468926553677</v>
      </c>
      <c r="Q178" s="69"/>
      <c r="Z178" s="171"/>
      <c r="AA178" s="171"/>
      <c r="AB178" s="171"/>
      <c r="AC178" s="171"/>
    </row>
    <row r="179" spans="2:29" x14ac:dyDescent="0.35">
      <c r="B179" s="168"/>
      <c r="C179" s="1" t="s">
        <v>251</v>
      </c>
      <c r="D179" s="156">
        <f>IFERROR(VLOOKUP(D$4,PICU!$AA$5:$AI$18,9,FALSE),"")</f>
        <v>0.94331065759637189</v>
      </c>
      <c r="E179" s="156">
        <f>IFERROR(VLOOKUP(E$4,PICU!$AA$5:$AI$18,9,FALSE),"")</f>
        <v>0.91156462585034015</v>
      </c>
      <c r="F179" s="156">
        <f>IFERROR(VLOOKUP(F$4,PICU!$AA$5:$AI$18,9,FALSE),"")</f>
        <v>0.88888888888888884</v>
      </c>
      <c r="G179" s="156">
        <f>IFERROR(VLOOKUP(G$4,PICU!$AA$5:$AI$18,9,FALSE),"")</f>
        <v>0.84941176470588231</v>
      </c>
      <c r="H179" s="156">
        <f>IFERROR(VLOOKUP(H$4,PICU!$AA$5:$AI$18,9,FALSE),"")</f>
        <v>0.83758700696055688</v>
      </c>
      <c r="I179" s="156">
        <f>IFERROR(VLOOKUP(I$4,PICU!$AA$5:$AI$18,9,FALSE),"")</f>
        <v>0.86182669789227162</v>
      </c>
      <c r="J179" s="156">
        <f>IFERROR(VLOOKUP(J$4,PICU!$AA$5:$AI$18,9,FALSE),"")</f>
        <v>0.83175355450236965</v>
      </c>
      <c r="K179" s="156">
        <f>IFERROR(VLOOKUP(K$4,PICU!$AA$5:$AI$18,9,FALSE),"")</f>
        <v>0.85781990521327012</v>
      </c>
      <c r="L179" s="156">
        <f>IFERROR(VLOOKUP(L$4,PICU!$AA$5:$AI$18,9,FALSE),"")</f>
        <v>0.82897862232779096</v>
      </c>
      <c r="M179" s="156">
        <f>IFERROR(VLOOKUP(M$4,PICU!$AA$5:$AI$18,9,FALSE),"")</f>
        <v>0.84198113207547165</v>
      </c>
      <c r="N179" s="156">
        <f>IFERROR(VLOOKUP(N$4,PICU!$AA$5:$AI$18,9,FALSE),"")</f>
        <v>0.79006772009029347</v>
      </c>
      <c r="O179" s="156">
        <f>IFERROR(VLOOKUP(O$4,PICU!$AA$5:$AI$18,9,FALSE),"")</f>
        <v>0.7633928571428571</v>
      </c>
      <c r="P179" s="156">
        <f>IFERROR(VLOOKUP(P$4,PICU!$AA$5:$AI$18,9,FALSE),"")</f>
        <v>0.83840749414519911</v>
      </c>
      <c r="Q179" s="69" t="str">
        <f>IFERROR(VLOOKUP(Q$4,PICU!$AA$5:$AH$19,5,FALSE),"")</f>
        <v/>
      </c>
      <c r="Z179" s="171"/>
      <c r="AA179" s="171"/>
      <c r="AB179" s="171"/>
      <c r="AC179" s="171"/>
    </row>
    <row r="180" spans="2:29" ht="16.5" customHeight="1" x14ac:dyDescent="0.35">
      <c r="B180" s="168"/>
      <c r="C180" s="1" t="s">
        <v>217</v>
      </c>
      <c r="D180" s="156">
        <f>IFERROR(VLOOKUP(D$4,PICU!$AA$5:$AI$18,6,FALSE),"")</f>
        <v>0.74222222222222223</v>
      </c>
      <c r="E180" s="156">
        <f>IFERROR(VLOOKUP(E$4,PICU!$AA$5:$AI$18,6,FALSE),"")</f>
        <v>0.74429223744292239</v>
      </c>
      <c r="F180" s="156">
        <f>IFERROR(VLOOKUP(F$4,PICU!$AA$5:$AI$18,6,FALSE),"")</f>
        <v>0.71363636363636362</v>
      </c>
      <c r="G180" s="156">
        <f>IFERROR(VLOOKUP(G$4,PICU!$AA$5:$AI$18,6,FALSE),"")</f>
        <v>0.7982062780269058</v>
      </c>
      <c r="H180" s="156">
        <f>IFERROR(VLOOKUP(H$4,PICU!$AA$5:$AI$18,6,FALSE),"")</f>
        <v>0.76605504587155959</v>
      </c>
      <c r="I180" s="156">
        <f>IFERROR(VLOOKUP(I$4,PICU!$AA$5:$AI$18,6,FALSE),"")</f>
        <v>0.76681614349775784</v>
      </c>
      <c r="J180" s="156">
        <f>IFERROR(VLOOKUP(J$4,PICU!$AA$5:$AI$18,6,FALSE),"")</f>
        <v>0.7901785714285714</v>
      </c>
      <c r="K180" s="156">
        <f>IFERROR(VLOOKUP(K$4,PICU!$AA$5:$AI$18,6,FALSE),"")</f>
        <v>0.78181818181818186</v>
      </c>
      <c r="L180" s="156">
        <f>IFERROR(VLOOKUP(L$4,PICU!$AA$5:$AI$18,6,FALSE),"")</f>
        <v>0.86175115207373276</v>
      </c>
      <c r="M180" s="156">
        <f>IFERROR(VLOOKUP(M$4,PICU!$AA$5:$AI$18,6,FALSE),"")</f>
        <v>0.76576576576576572</v>
      </c>
      <c r="N180" s="156">
        <f>IFERROR(VLOOKUP(N$4,PICU!$AA$5:$AI$18,6,FALSE),"")</f>
        <v>0.69585253456221197</v>
      </c>
      <c r="O180" s="156">
        <f>IFERROR(VLOOKUP(O$4,PICU!$AA$5:$AI$18,6,FALSE),"")</f>
        <v>0.75799086757990863</v>
      </c>
      <c r="P180" s="156">
        <f>IFERROR(VLOOKUP(P$4,PICU!$AA$5:$AI$18,6,FALSE),"")</f>
        <v>0.70046082949308752</v>
      </c>
      <c r="Q180" s="69" t="str">
        <f>IFERROR(VLOOKUP(Q$4,PICU!$AA$5:$AH$19,6,FALSE),"")</f>
        <v/>
      </c>
      <c r="Z180" s="171"/>
      <c r="AA180" s="171"/>
      <c r="AB180" s="171"/>
      <c r="AC180" s="171"/>
    </row>
    <row r="181" spans="2:29" ht="16.5" customHeight="1" x14ac:dyDescent="0.35">
      <c r="B181" s="168"/>
      <c r="C181" s="11" t="s">
        <v>218</v>
      </c>
      <c r="D181" s="156">
        <f>IFERROR(VLOOKUP(D$4,PICU!$AA$5:$AI$18,7,FALSE),"")</f>
        <v>0.89682539682539686</v>
      </c>
      <c r="E181" s="156">
        <f>IFERROR(VLOOKUP(E$4,PICU!$AA$5:$AI$18,7,FALSE),"")</f>
        <v>0.81746031746031744</v>
      </c>
      <c r="F181" s="156">
        <f>IFERROR(VLOOKUP(F$4,PICU!$AA$5:$AI$18,7,FALSE),"")</f>
        <v>0.84920634920634919</v>
      </c>
      <c r="G181" s="156">
        <f>IFERROR(VLOOKUP(G$4,PICU!$AA$5:$AI$18,7,FALSE),"")</f>
        <v>0.77777777777777779</v>
      </c>
      <c r="H181" s="156">
        <f>IFERROR(VLOOKUP(H$4,PICU!$AA$5:$AI$18,7,FALSE),"")</f>
        <v>0.82539682539682535</v>
      </c>
      <c r="I181" s="156">
        <f>IFERROR(VLOOKUP(I$4,PICU!$AA$5:$AI$18,7,FALSE),"")</f>
        <v>0.75396825396825395</v>
      </c>
      <c r="J181" s="156">
        <f>IFERROR(VLOOKUP(J$4,PICU!$AA$5:$AI$18,7,FALSE),"")</f>
        <v>0.72222222222222221</v>
      </c>
      <c r="K181" s="156">
        <f>IFERROR(VLOOKUP(K$4,PICU!$AA$5:$AI$18,7,FALSE),"")</f>
        <v>0.76190476190476186</v>
      </c>
      <c r="L181" s="156">
        <f>IFERROR(VLOOKUP(L$4,PICU!$AA$5:$AI$18,7,FALSE),"")</f>
        <v>0.70634920634920639</v>
      </c>
      <c r="M181" s="156">
        <f>IFERROR(VLOOKUP(M$4,PICU!$AA$5:$AI$18,7,FALSE),"")</f>
        <v>0.60317460317460314</v>
      </c>
      <c r="N181" s="156">
        <f>IFERROR(VLOOKUP(N$4,PICU!$AA$5:$AI$18,7,FALSE),"")</f>
        <v>0.75396825396825395</v>
      </c>
      <c r="O181" s="156">
        <f>IFERROR(VLOOKUP(O$4,PICU!$AA$5:$AI$18,7,FALSE),"")</f>
        <v>0.6428571428571429</v>
      </c>
      <c r="P181" s="156">
        <f>IFERROR(VLOOKUP(P$4,PICU!$AA$5:$AI$18,7,FALSE),"")</f>
        <v>0.7142857142857143</v>
      </c>
      <c r="Q181" s="69" t="str">
        <f>IFERROR(VLOOKUP(Q$4,PICU!$AA$5:$AH$19,7,FALSE),"")</f>
        <v/>
      </c>
      <c r="Z181" s="171"/>
      <c r="AA181" s="171"/>
      <c r="AB181" s="171"/>
      <c r="AC181" s="171"/>
    </row>
    <row r="182" spans="2:29" x14ac:dyDescent="0.35">
      <c r="B182" s="168"/>
      <c r="C182" s="11"/>
      <c r="D182" s="64"/>
      <c r="E182" s="64"/>
      <c r="F182" s="64"/>
      <c r="G182" s="64"/>
      <c r="H182" s="64"/>
      <c r="I182" s="64"/>
      <c r="J182" s="64"/>
      <c r="K182" s="64"/>
      <c r="L182" s="64"/>
      <c r="M182" s="64"/>
      <c r="N182" s="64"/>
      <c r="O182" s="64"/>
      <c r="P182" s="64"/>
      <c r="Q182" s="64"/>
      <c r="Z182" s="171"/>
      <c r="AA182" s="171"/>
      <c r="AB182" s="171"/>
      <c r="AC182" s="171"/>
    </row>
    <row r="183" spans="2:29" x14ac:dyDescent="0.35">
      <c r="B183" s="168"/>
      <c r="C183" s="12" t="s">
        <v>17</v>
      </c>
      <c r="D183" s="117">
        <v>37.142857142857146</v>
      </c>
      <c r="E183" s="117">
        <v>41.285714285714285</v>
      </c>
      <c r="F183" s="117">
        <v>41.142857142857146</v>
      </c>
      <c r="G183" s="117">
        <v>49.714285714285715</v>
      </c>
      <c r="H183" s="117">
        <v>54.714285714285715</v>
      </c>
      <c r="I183" s="117">
        <v>54.714285714285715</v>
      </c>
      <c r="J183" s="117">
        <v>55.714285714285715</v>
      </c>
      <c r="K183" s="117">
        <v>61.857142857142854</v>
      </c>
      <c r="L183" s="117">
        <v>60</v>
      </c>
      <c r="M183" s="117">
        <v>56.571428571428569</v>
      </c>
      <c r="N183" s="117">
        <v>68</v>
      </c>
      <c r="O183" s="117">
        <v>62.142857142857146</v>
      </c>
      <c r="P183" s="117">
        <v>59.571428571428569</v>
      </c>
      <c r="Z183" s="171"/>
      <c r="AA183" s="171"/>
      <c r="AB183" s="171"/>
      <c r="AC183" s="171"/>
    </row>
    <row r="184" spans="2:29" x14ac:dyDescent="0.35">
      <c r="B184" s="168"/>
      <c r="C184" s="11" t="s">
        <v>283</v>
      </c>
      <c r="D184" s="29">
        <v>113.42857142857143</v>
      </c>
      <c r="E184" s="29">
        <v>117</v>
      </c>
      <c r="F184" s="29">
        <v>108.42857142857143</v>
      </c>
      <c r="G184" s="29">
        <v>111.28571428571429</v>
      </c>
      <c r="H184" s="29">
        <v>115</v>
      </c>
      <c r="I184" s="29">
        <v>108.85714285714286</v>
      </c>
      <c r="J184" s="29">
        <v>94</v>
      </c>
      <c r="K184" s="29">
        <v>79.714285714285708</v>
      </c>
      <c r="L184" s="29">
        <v>74.857142857142861</v>
      </c>
      <c r="M184" s="29">
        <v>84</v>
      </c>
      <c r="N184" s="29">
        <v>83.428571428571431</v>
      </c>
      <c r="O184" s="29">
        <v>87</v>
      </c>
      <c r="P184" s="29">
        <v>80</v>
      </c>
      <c r="Z184" s="171"/>
      <c r="AA184" s="171"/>
      <c r="AB184" s="171"/>
      <c r="AC184" s="171"/>
    </row>
    <row r="185" spans="2:29" ht="7.5" customHeight="1" x14ac:dyDescent="0.35">
      <c r="B185" s="168"/>
      <c r="Z185" s="171"/>
      <c r="AA185" s="171"/>
      <c r="AB185" s="171"/>
      <c r="AC185" s="171"/>
    </row>
    <row r="186" spans="2:29" x14ac:dyDescent="0.35">
      <c r="B186" s="168"/>
      <c r="C186" s="16" t="s">
        <v>295</v>
      </c>
      <c r="D186" s="62">
        <f>IFERROR(VLOOKUP(D$4,PICU!$BM$5:'PICU'!$BU$18,2,FALSE),"")</f>
        <v>52.714285714285715</v>
      </c>
      <c r="E186" s="62">
        <f>IFERROR(VLOOKUP(E$4,PICU!$BM$5:'PICU'!$BU$18,2,FALSE),"")</f>
        <v>60.285714285714285</v>
      </c>
      <c r="F186" s="62">
        <f>IFERROR(VLOOKUP(F$4,PICU!$BM$5:'PICU'!$BU$18,2,FALSE),"")</f>
        <v>58.714285714285715</v>
      </c>
      <c r="G186" s="62">
        <f>IFERROR(VLOOKUP(G$4,PICU!$BM$5:'PICU'!$BU$18,2,FALSE),"")</f>
        <v>62.428571428571431</v>
      </c>
      <c r="H186" s="62">
        <f>IFERROR(VLOOKUP(H$4,PICU!$BM$5:'PICU'!$BU$18,2,FALSE),"")</f>
        <v>76.857142857142861</v>
      </c>
      <c r="I186" s="62">
        <f>IFERROR(VLOOKUP(I$4,PICU!$BM$5:'PICU'!$BU$18,2,FALSE),"")</f>
        <v>82.428571428571431</v>
      </c>
      <c r="J186" s="62">
        <f>IFERROR(VLOOKUP(J$4,PICU!$BM$5:'PICU'!$BU$18,2,FALSE),"")</f>
        <v>80</v>
      </c>
      <c r="K186" s="62">
        <f>IFERROR(VLOOKUP(K$4,PICU!$BM$5:'PICU'!$BU$18,2,FALSE),"")</f>
        <v>77.285714285714292</v>
      </c>
      <c r="L186" s="62">
        <f>IFERROR(VLOOKUP(L$4,PICU!$BM$5:'PICU'!$BU$18,2,FALSE),"")</f>
        <v>81</v>
      </c>
      <c r="M186" s="62">
        <f>IFERROR(VLOOKUP(M$4,PICU!$BM$5:'PICU'!$BU$18,2,FALSE),"")</f>
        <v>78.285714285714292</v>
      </c>
      <c r="N186" s="62">
        <f>IFERROR(VLOOKUP(N$4,PICU!$BM$5:'PICU'!$BU$18,2,FALSE),"")</f>
        <v>90.571428571428569</v>
      </c>
      <c r="O186" s="62">
        <f>IFERROR(VLOOKUP(O$4,PICU!$BM$5:'PICU'!$BU$18,2,FALSE),"")</f>
        <v>99.571428571428569</v>
      </c>
      <c r="P186" s="62">
        <f>IFERROR(VLOOKUP(P$4,PICU!$BM$5:'PICU'!$BU$18,2,FALSE),"")</f>
        <v>91.428571428571431</v>
      </c>
      <c r="Q186" s="94" t="str">
        <f>IFERROR(VLOOKUP(Q$4,PICU!$BM$5:'PICU'!$BT$19,2,FALSE),"")</f>
        <v/>
      </c>
      <c r="Z186" s="171"/>
      <c r="AA186" s="171"/>
      <c r="AB186" s="171"/>
      <c r="AC186" s="171"/>
    </row>
    <row r="187" spans="2:29" x14ac:dyDescent="0.35">
      <c r="B187" s="168"/>
      <c r="C187" s="1" t="s">
        <v>1</v>
      </c>
      <c r="D187" s="155">
        <f>IFERROR(VLOOKUP(D$4,PICU!$BM$5:'PICU'!$BU$18,3,FALSE),"")</f>
        <v>11.142857142857142</v>
      </c>
      <c r="E187" s="155">
        <f>IFERROR(VLOOKUP(E$4,PICU!$BM$5:'PICU'!$BU$18,3,FALSE),"")</f>
        <v>16.428571428571427</v>
      </c>
      <c r="F187" s="155">
        <f>IFERROR(VLOOKUP(F$4,PICU!$BM$5:'PICU'!$BU$18,3,FALSE),"")</f>
        <v>13.714285714285714</v>
      </c>
      <c r="G187" s="155">
        <f>IFERROR(VLOOKUP(G$4,PICU!$BM$5:'PICU'!$BU$18,3,FALSE),"")</f>
        <v>14.142857142857142</v>
      </c>
      <c r="H187" s="155">
        <f>IFERROR(VLOOKUP(H$4,PICU!$BM$5:'PICU'!$BU$18,3,FALSE),"")</f>
        <v>27</v>
      </c>
      <c r="I187" s="155">
        <f>IFERROR(VLOOKUP(I$4,PICU!$BM$5:'PICU'!$BU$18,3,FALSE),"")</f>
        <v>28.285714285714285</v>
      </c>
      <c r="J187" s="155">
        <f>IFERROR(VLOOKUP(J$4,PICU!$BM$5:'PICU'!$BU$18,3,FALSE),"")</f>
        <v>25</v>
      </c>
      <c r="K187" s="155">
        <f>IFERROR(VLOOKUP(K$4,PICU!$BM$5:'PICU'!$BU$18,3,FALSE),"")</f>
        <v>24.571428571428573</v>
      </c>
      <c r="L187" s="155">
        <f>IFERROR(VLOOKUP(L$4,PICU!$BM$5:'PICU'!$BU$18,3,FALSE),"")</f>
        <v>24.285714285714285</v>
      </c>
      <c r="M187" s="155">
        <f>IFERROR(VLOOKUP(M$4,PICU!$BM$5:'PICU'!$BU$18,3,FALSE),"")</f>
        <v>22</v>
      </c>
      <c r="N187" s="155">
        <f>IFERROR(VLOOKUP(N$4,PICU!$BM$5:'PICU'!$BU$18,3,FALSE),"")</f>
        <v>23.428571428571427</v>
      </c>
      <c r="O187" s="155">
        <f>IFERROR(VLOOKUP(O$4,PICU!$BM$5:'PICU'!$BU$18,3,FALSE),"")</f>
        <v>29.857142857142858</v>
      </c>
      <c r="P187" s="155">
        <f>IFERROR(VLOOKUP(P$4,PICU!$BM$5:'PICU'!$BU$18,3,FALSE),"")</f>
        <v>29.571428571428573</v>
      </c>
      <c r="Q187" s="95" t="str">
        <f>IFERROR(VLOOKUP(Q$4,PICU!$BM$5:'PICU'!$BT$19,3,FALSE),"")</f>
        <v/>
      </c>
      <c r="T187" s="3"/>
      <c r="Z187" s="171"/>
      <c r="AA187" s="171"/>
      <c r="AB187" s="171"/>
      <c r="AC187" s="171"/>
    </row>
    <row r="188" spans="2:29" x14ac:dyDescent="0.35">
      <c r="B188" s="168"/>
      <c r="C188" s="1" t="s">
        <v>220</v>
      </c>
      <c r="D188" s="155">
        <f>IFERROR(VLOOKUP(D$4,PICU!$BM$5:'PICU'!$BU$18,4,FALSE),"")</f>
        <v>8</v>
      </c>
      <c r="E188" s="155">
        <f>IFERROR(VLOOKUP(E$4,PICU!$BM$5:'PICU'!$BU$18,4,FALSE),"")</f>
        <v>8.8571428571428577</v>
      </c>
      <c r="F188" s="155">
        <f>IFERROR(VLOOKUP(F$4,PICU!$BM$5:'PICU'!$BU$18,4,FALSE),"")</f>
        <v>10.285714285714286</v>
      </c>
      <c r="G188" s="155">
        <f>IFERROR(VLOOKUP(G$4,PICU!$BM$5:'PICU'!$BU$18,4,FALSE),"")</f>
        <v>9.7142857142857135</v>
      </c>
      <c r="H188" s="155">
        <f>IFERROR(VLOOKUP(H$4,PICU!$BM$5:'PICU'!$BU$18,4,FALSE),"")</f>
        <v>11.428571428571429</v>
      </c>
      <c r="I188" s="155">
        <f>IFERROR(VLOOKUP(I$4,PICU!$BM$5:'PICU'!$BU$18,4,FALSE),"")</f>
        <v>17</v>
      </c>
      <c r="J188" s="155">
        <f>IFERROR(VLOOKUP(J$4,PICU!$BM$5:'PICU'!$BU$18,4,FALSE),"")</f>
        <v>16</v>
      </c>
      <c r="K188" s="155">
        <f>IFERROR(VLOOKUP(K$4,PICU!$BM$5:'PICU'!$BU$18,4,FALSE),"")</f>
        <v>17.571428571428573</v>
      </c>
      <c r="L188" s="155">
        <f>IFERROR(VLOOKUP(L$4,PICU!$BM$5:'PICU'!$BU$18,4,FALSE),"")</f>
        <v>19.428571428571427</v>
      </c>
      <c r="M188" s="155">
        <f>IFERROR(VLOOKUP(M$4,PICU!$BM$5:'PICU'!$BU$18,4,FALSE),"")</f>
        <v>15.714285714285714</v>
      </c>
      <c r="N188" s="155">
        <f>IFERROR(VLOOKUP(N$4,PICU!$BM$5:'PICU'!$BU$18,4,FALSE),"")</f>
        <v>18.428571428571427</v>
      </c>
      <c r="O188" s="155">
        <f>IFERROR(VLOOKUP(O$4,PICU!$BM$5:'PICU'!$BU$18,4,FALSE),"")</f>
        <v>17.571428571428573</v>
      </c>
      <c r="P188" s="155">
        <f>IFERROR(VLOOKUP(P$4,PICU!$BM$5:'PICU'!$BU$18,4,FALSE),"")</f>
        <v>15.857142857142858</v>
      </c>
      <c r="Q188" s="95" t="str">
        <f>IFERROR(VLOOKUP(Q$4,PICU!$BM$5:'PICU'!$BT$19,4,FALSE),"")</f>
        <v/>
      </c>
      <c r="Z188" s="171"/>
      <c r="AA188" s="171"/>
      <c r="AB188" s="171"/>
      <c r="AC188" s="171"/>
    </row>
    <row r="189" spans="2:29" x14ac:dyDescent="0.35">
      <c r="B189" s="168"/>
      <c r="C189" s="1" t="s">
        <v>248</v>
      </c>
      <c r="D189" s="155">
        <f>IFERROR(VLOOKUP(D$4,PICU!$BM$5:'PICU'!$BU$18,8,FALSE),"")</f>
        <v>6</v>
      </c>
      <c r="E189" s="155">
        <f>IFERROR(VLOOKUP(E$4,PICU!$BM$5:'PICU'!$BU$18,8,FALSE),"")</f>
        <v>2.8571428571428572</v>
      </c>
      <c r="F189" s="155">
        <f>IFERROR(VLOOKUP(F$4,PICU!$BM$5:'PICU'!$BU$18,8,FALSE),"")</f>
        <v>2</v>
      </c>
      <c r="G189" s="155">
        <f>IFERROR(VLOOKUP(G$4,PICU!$BM$5:'PICU'!$BU$18,8,FALSE),"")</f>
        <v>3.7142857142857144</v>
      </c>
      <c r="H189" s="155">
        <f>IFERROR(VLOOKUP(H$4,PICU!$BM$5:'PICU'!$BU$18,8,FALSE),"")</f>
        <v>5</v>
      </c>
      <c r="I189" s="155">
        <f>IFERROR(VLOOKUP(I$4,PICU!$BM$5:'PICU'!$BU$18,8,FALSE),"")</f>
        <v>5.7142857142857144</v>
      </c>
      <c r="J189" s="155">
        <f>IFERROR(VLOOKUP(J$4,PICU!$BM$5:'PICU'!$BU$18,8,FALSE),"")</f>
        <v>6</v>
      </c>
      <c r="K189" s="155">
        <f>IFERROR(VLOOKUP(K$4,PICU!$BM$5:'PICU'!$BU$18,8,FALSE),"")</f>
        <v>5.1428571428571432</v>
      </c>
      <c r="L189" s="155">
        <f>IFERROR(VLOOKUP(L$4,PICU!$BM$5:'PICU'!$BU$18,8,FALSE),"")</f>
        <v>6</v>
      </c>
      <c r="M189" s="155">
        <f>IFERROR(VLOOKUP(M$4,PICU!$BM$5:'PICU'!$BU$18,8,FALSE),"")</f>
        <v>4.5714285714285712</v>
      </c>
      <c r="N189" s="155">
        <f>IFERROR(VLOOKUP(N$4,PICU!$BM$5:'PICU'!$BU$18,8,FALSE),"")</f>
        <v>7</v>
      </c>
      <c r="O189" s="155">
        <f>IFERROR(VLOOKUP(O$4,PICU!$BM$5:'PICU'!$BU$18,8,FALSE),"")</f>
        <v>6.5714285714285712</v>
      </c>
      <c r="P189" s="155">
        <f>IFERROR(VLOOKUP(P$4,PICU!$BM$5:'PICU'!$BU$18,8,FALSE),"")</f>
        <v>6.8571428571428568</v>
      </c>
      <c r="Q189" s="95"/>
      <c r="Z189" s="171"/>
      <c r="AA189" s="171"/>
      <c r="AB189" s="171"/>
      <c r="AC189" s="171"/>
    </row>
    <row r="190" spans="2:29" x14ac:dyDescent="0.35">
      <c r="B190" s="168"/>
      <c r="C190" s="1" t="s">
        <v>249</v>
      </c>
      <c r="D190" s="155">
        <f>IFERROR(VLOOKUP(D$4,PICU!$BM$5:'PICU'!$BU$18,5,FALSE),"")</f>
        <v>13.857142857142858</v>
      </c>
      <c r="E190" s="155">
        <f>IFERROR(VLOOKUP(E$4,PICU!$BM$5:'PICU'!$BU$18,5,FALSE),"")</f>
        <v>15.285714285714286</v>
      </c>
      <c r="F190" s="155">
        <f>IFERROR(VLOOKUP(F$4,PICU!$BM$5:'PICU'!$BU$18,5,FALSE),"")</f>
        <v>14</v>
      </c>
      <c r="G190" s="155">
        <f>IFERROR(VLOOKUP(G$4,PICU!$BM$5:'PICU'!$BU$18,5,FALSE),"")</f>
        <v>15.285714285714286</v>
      </c>
      <c r="H190" s="155">
        <f>IFERROR(VLOOKUP(H$4,PICU!$BM$5:'PICU'!$BU$18,5,FALSE),"")</f>
        <v>13</v>
      </c>
      <c r="I190" s="155">
        <f>IFERROR(VLOOKUP(I$4,PICU!$BM$5:'PICU'!$BU$18,5,FALSE),"")</f>
        <v>11.142857142857142</v>
      </c>
      <c r="J190" s="155">
        <f>IFERROR(VLOOKUP(J$4,PICU!$BM$5:'PICU'!$BU$18,5,FALSE),"")</f>
        <v>11.142857142857142</v>
      </c>
      <c r="K190" s="155">
        <f>IFERROR(VLOOKUP(K$4,PICU!$BM$5:'PICU'!$BU$18,5,FALSE),"")</f>
        <v>10.285714285714286</v>
      </c>
      <c r="L190" s="155">
        <f>IFERROR(VLOOKUP(L$4,PICU!$BM$5:'PICU'!$BU$18,5,FALSE),"")</f>
        <v>11.428571428571429</v>
      </c>
      <c r="M190" s="155">
        <f>IFERROR(VLOOKUP(M$4,PICU!$BM$5:'PICU'!$BU$18,5,FALSE),"")</f>
        <v>11.857142857142858</v>
      </c>
      <c r="N190" s="155">
        <f>IFERROR(VLOOKUP(N$4,PICU!$BM$5:'PICU'!$BU$18,5,FALSE),"")</f>
        <v>14.571428571428571</v>
      </c>
      <c r="O190" s="155">
        <f>IFERROR(VLOOKUP(O$4,PICU!$BM$5:'PICU'!$BU$18,5,FALSE),"")</f>
        <v>16.428571428571427</v>
      </c>
      <c r="P190" s="155">
        <f>IFERROR(VLOOKUP(P$4,PICU!$BM$5:'PICU'!$BU$18,5,FALSE),"")</f>
        <v>14.857142857142858</v>
      </c>
      <c r="Q190" s="95"/>
      <c r="Z190" s="171"/>
      <c r="AA190" s="171"/>
      <c r="AB190" s="171"/>
      <c r="AC190" s="171"/>
    </row>
    <row r="191" spans="2:29" x14ac:dyDescent="0.35">
      <c r="B191" s="168"/>
      <c r="C191" s="1" t="s">
        <v>251</v>
      </c>
      <c r="D191" s="155">
        <f>IFERROR(VLOOKUP(D$4,PICU!$BM$5:'PICU'!$BU$18,9,FALSE),"")</f>
        <v>3.5714285714285716</v>
      </c>
      <c r="E191" s="155">
        <f>IFERROR(VLOOKUP(E$4,PICU!$BM$5:'PICU'!$BU$18,9,FALSE),"")</f>
        <v>5.5714285714285712</v>
      </c>
      <c r="F191" s="155">
        <f>IFERROR(VLOOKUP(F$4,PICU!$BM$5:'PICU'!$BU$18,9,FALSE),"")</f>
        <v>7</v>
      </c>
      <c r="G191" s="155">
        <f>IFERROR(VLOOKUP(G$4,PICU!$BM$5:'PICU'!$BU$18,9,FALSE),"")</f>
        <v>9.1428571428571423</v>
      </c>
      <c r="H191" s="155">
        <f>IFERROR(VLOOKUP(H$4,PICU!$BM$5:'PICU'!$BU$18,9,FALSE),"")</f>
        <v>10</v>
      </c>
      <c r="I191" s="155">
        <f>IFERROR(VLOOKUP(I$4,PICU!$BM$5:'PICU'!$BU$18,9,FALSE),"")</f>
        <v>8.4285714285714288</v>
      </c>
      <c r="J191" s="155">
        <f>IFERROR(VLOOKUP(J$4,PICU!$BM$5:'PICU'!$BU$18,9,FALSE),"")</f>
        <v>10.142857142857142</v>
      </c>
      <c r="K191" s="155">
        <f>IFERROR(VLOOKUP(K$4,PICU!$BM$5:'PICU'!$BU$18,9,FALSE),"")</f>
        <v>8.5714285714285712</v>
      </c>
      <c r="L191" s="155">
        <f>IFERROR(VLOOKUP(L$4,PICU!$BM$5:'PICU'!$BU$18,9,FALSE),"")</f>
        <v>10.285714285714286</v>
      </c>
      <c r="M191" s="155">
        <f>IFERROR(VLOOKUP(M$4,PICU!$BM$5:'PICU'!$BU$18,9,FALSE),"")</f>
        <v>9.5714285714285712</v>
      </c>
      <c r="N191" s="155">
        <f>IFERROR(VLOOKUP(N$4,PICU!$BM$5:'PICU'!$BU$18,9,FALSE),"")</f>
        <v>13.285714285714286</v>
      </c>
      <c r="O191" s="155">
        <f>IFERROR(VLOOKUP(O$4,PICU!$BM$5:'PICU'!$BU$18,9,FALSE),"")</f>
        <v>15.142857142857142</v>
      </c>
      <c r="P191" s="155">
        <f>IFERROR(VLOOKUP(P$4,PICU!$BM$5:'PICU'!$BU$18,9,FALSE),"")</f>
        <v>9.8571428571428577</v>
      </c>
      <c r="Q191" s="95" t="str">
        <f>IFERROR(VLOOKUP(Q$4,PICU!$BM$5:'PICU'!$BT$19,5,FALSE),"")</f>
        <v/>
      </c>
      <c r="Z191" s="171"/>
      <c r="AA191" s="171"/>
      <c r="AB191" s="171"/>
      <c r="AC191" s="171"/>
    </row>
    <row r="192" spans="2:29" x14ac:dyDescent="0.35">
      <c r="B192" s="168"/>
      <c r="C192" s="1" t="s">
        <v>217</v>
      </c>
      <c r="D192" s="155">
        <f>IFERROR(VLOOKUP(D$4,PICU!$BM$5:'PICU'!$BU$18,6,FALSE),"")</f>
        <v>8.2857142857142865</v>
      </c>
      <c r="E192" s="155">
        <f>IFERROR(VLOOKUP(E$4,PICU!$BM$5:'PICU'!$BU$18,6,FALSE),"")</f>
        <v>8</v>
      </c>
      <c r="F192" s="155">
        <f>IFERROR(VLOOKUP(F$4,PICU!$BM$5:'PICU'!$BU$18,6,FALSE),"")</f>
        <v>9</v>
      </c>
      <c r="G192" s="155">
        <f>IFERROR(VLOOKUP(G$4,PICU!$BM$5:'PICU'!$BU$18,6,FALSE),"")</f>
        <v>6.4285714285714288</v>
      </c>
      <c r="H192" s="155">
        <f>IFERROR(VLOOKUP(H$4,PICU!$BM$5:'PICU'!$BU$18,6,FALSE),"")</f>
        <v>7.2857142857142856</v>
      </c>
      <c r="I192" s="155">
        <f>IFERROR(VLOOKUP(I$4,PICU!$BM$5:'PICU'!$BU$18,6,FALSE),"")</f>
        <v>7.4285714285714288</v>
      </c>
      <c r="J192" s="155">
        <f>IFERROR(VLOOKUP(J$4,PICU!$BM$5:'PICU'!$BU$18,6,FALSE),"")</f>
        <v>6.7142857142857144</v>
      </c>
      <c r="K192" s="155">
        <f>IFERROR(VLOOKUP(K$4,PICU!$BM$5:'PICU'!$BU$18,6,FALSE),"")</f>
        <v>6.8571428571428568</v>
      </c>
      <c r="L192" s="155">
        <f>IFERROR(VLOOKUP(L$4,PICU!$BM$5:'PICU'!$BU$18,6,FALSE),"")</f>
        <v>4.2857142857142856</v>
      </c>
      <c r="M192" s="155">
        <f>IFERROR(VLOOKUP(M$4,PICU!$BM$5:'PICU'!$BU$18,6,FALSE),"")</f>
        <v>7.4285714285714288</v>
      </c>
      <c r="N192" s="155">
        <f>IFERROR(VLOOKUP(N$4,PICU!$BM$5:'PICU'!$BU$18,6,FALSE),"")</f>
        <v>9.4285714285714288</v>
      </c>
      <c r="O192" s="155">
        <f>IFERROR(VLOOKUP(O$4,PICU!$BM$5:'PICU'!$BU$18,6,FALSE),"")</f>
        <v>7.5714285714285712</v>
      </c>
      <c r="P192" s="155">
        <f>IFERROR(VLOOKUP(P$4,PICU!$BM$5:'PICU'!$BU$18,6,FALSE),"")</f>
        <v>9.2857142857142865</v>
      </c>
      <c r="Q192" s="95" t="str">
        <f>IFERROR(VLOOKUP(Q$4,PICU!$BM$5:'PICU'!$BT$19,6,FALSE),"")</f>
        <v/>
      </c>
      <c r="Z192" s="49"/>
      <c r="AA192" s="49"/>
      <c r="AB192" s="49"/>
      <c r="AC192" s="49"/>
    </row>
    <row r="193" spans="2:29" x14ac:dyDescent="0.35">
      <c r="B193" s="168"/>
      <c r="C193" s="11" t="s">
        <v>218</v>
      </c>
      <c r="D193" s="155">
        <f>IFERROR(VLOOKUP(D$4,PICU!$BM$5:'PICU'!$BU$18,7,FALSE),"")</f>
        <v>1.8571428571428572</v>
      </c>
      <c r="E193" s="155">
        <f>IFERROR(VLOOKUP(E$4,PICU!$BM$5:'PICU'!$BU$18,7,FALSE),"")</f>
        <v>3.2857142857142856</v>
      </c>
      <c r="F193" s="155">
        <f>IFERROR(VLOOKUP(F$4,PICU!$BM$5:'PICU'!$BU$18,7,FALSE),"")</f>
        <v>2.7142857142857144</v>
      </c>
      <c r="G193" s="155">
        <f>IFERROR(VLOOKUP(G$4,PICU!$BM$5:'PICU'!$BU$18,7,FALSE),"")</f>
        <v>4</v>
      </c>
      <c r="H193" s="155">
        <f>IFERROR(VLOOKUP(H$4,PICU!$BM$5:'PICU'!$BU$18,7,FALSE),"")</f>
        <v>3.1428571428571428</v>
      </c>
      <c r="I193" s="155">
        <f>IFERROR(VLOOKUP(I$4,PICU!$BM$5:'PICU'!$BU$18,7,FALSE),"")</f>
        <v>4.4285714285714288</v>
      </c>
      <c r="J193" s="155">
        <f>IFERROR(VLOOKUP(J$4,PICU!$BM$5:'PICU'!$BU$18,7,FALSE),"")</f>
        <v>5</v>
      </c>
      <c r="K193" s="155">
        <f>IFERROR(VLOOKUP(K$4,PICU!$BM$5:'PICU'!$BU$18,7,FALSE),"")</f>
        <v>4.2857142857142856</v>
      </c>
      <c r="L193" s="155">
        <f>IFERROR(VLOOKUP(L$4,PICU!$BM$5:'PICU'!$BU$18,7,FALSE),"")</f>
        <v>5.2857142857142856</v>
      </c>
      <c r="M193" s="155">
        <f>IFERROR(VLOOKUP(M$4,PICU!$BM$5:'PICU'!$BU$18,7,FALSE),"")</f>
        <v>7.1428571428571432</v>
      </c>
      <c r="N193" s="155">
        <f>IFERROR(VLOOKUP(N$4,PICU!$BM$5:'PICU'!$BU$18,7,FALSE),"")</f>
        <v>4.4285714285714288</v>
      </c>
      <c r="O193" s="155">
        <f>IFERROR(VLOOKUP(O$4,PICU!$BM$5:'PICU'!$BU$18,7,FALSE),"")</f>
        <v>6.4285714285714288</v>
      </c>
      <c r="P193" s="155">
        <f>IFERROR(VLOOKUP(P$4,PICU!$BM$5:'PICU'!$BU$18,7,FALSE),"")</f>
        <v>5.1428571428571432</v>
      </c>
      <c r="Q193" s="95" t="str">
        <f>IFERROR(VLOOKUP(Q$4,PICU!$BM$5:'PICU'!$BT$19,7,FALSE),"")</f>
        <v/>
      </c>
      <c r="Z193" s="49"/>
      <c r="AA193" s="49"/>
      <c r="AB193" s="49"/>
      <c r="AC193" s="49"/>
    </row>
    <row r="194" spans="2:29" ht="30" customHeight="1" x14ac:dyDescent="0.35">
      <c r="C194" s="1"/>
    </row>
    <row r="195" spans="2:29" ht="15" customHeight="1" x14ac:dyDescent="0.35">
      <c r="B195" s="168" t="s">
        <v>18</v>
      </c>
      <c r="C195" s="5" t="s">
        <v>225</v>
      </c>
      <c r="D195" s="125">
        <v>0.73157389635316694</v>
      </c>
      <c r="E195" s="125">
        <v>0.74428653735356254</v>
      </c>
      <c r="F195" s="125">
        <v>0.74739259401014257</v>
      </c>
      <c r="G195" s="125">
        <v>0.71139386928860615</v>
      </c>
      <c r="H195" s="125">
        <v>0.69080027029636071</v>
      </c>
      <c r="I195" s="125">
        <v>0.70377503852080125</v>
      </c>
      <c r="J195" s="125">
        <v>0.69971236816874405</v>
      </c>
      <c r="K195" s="125">
        <v>0.6976788981989791</v>
      </c>
      <c r="L195" s="125">
        <v>0.70355349555813051</v>
      </c>
      <c r="M195" s="125">
        <v>0.69191677054367628</v>
      </c>
      <c r="N195" s="125">
        <v>0.70221752903907075</v>
      </c>
      <c r="O195" s="125">
        <v>0.69187997315693606</v>
      </c>
      <c r="P195" s="125">
        <v>0.67915896038158274</v>
      </c>
      <c r="Z195" s="169" t="s">
        <v>33</v>
      </c>
      <c r="AA195" s="169"/>
      <c r="AB195" s="169"/>
      <c r="AC195" s="169"/>
    </row>
    <row r="196" spans="2:29" x14ac:dyDescent="0.35">
      <c r="B196" s="168"/>
      <c r="C196" s="68" t="s">
        <v>283</v>
      </c>
      <c r="D196" s="136">
        <v>0.61681567777476742</v>
      </c>
      <c r="E196" s="136">
        <v>0.62331081081081086</v>
      </c>
      <c r="F196" s="136">
        <v>0.65003141549232568</v>
      </c>
      <c r="G196" s="136">
        <v>0.64797961412449945</v>
      </c>
      <c r="H196" s="136">
        <v>0.64350370302642401</v>
      </c>
      <c r="I196" s="136">
        <v>0.65659893831228267</v>
      </c>
      <c r="J196" s="136">
        <v>0.65577660156962947</v>
      </c>
      <c r="K196" s="136">
        <v>0.65172475745598279</v>
      </c>
      <c r="L196" s="136">
        <v>0.64859563085153815</v>
      </c>
      <c r="M196" s="136">
        <v>0.6371357053459682</v>
      </c>
      <c r="N196" s="136">
        <v>0.63764768588433862</v>
      </c>
      <c r="O196" s="136">
        <v>0.64123276846079547</v>
      </c>
      <c r="P196" s="136">
        <v>0.6508063087010455</v>
      </c>
      <c r="Z196" s="169"/>
      <c r="AA196" s="169"/>
      <c r="AB196" s="169"/>
      <c r="AC196" s="169"/>
    </row>
    <row r="197" spans="2:29" ht="9" customHeight="1" x14ac:dyDescent="0.35">
      <c r="B197" s="168"/>
      <c r="D197" s="30">
        <v>0.85</v>
      </c>
      <c r="E197" s="30">
        <v>0.85</v>
      </c>
      <c r="F197" s="30">
        <v>0.85</v>
      </c>
      <c r="G197" s="30">
        <v>0.85</v>
      </c>
      <c r="H197" s="30">
        <v>0.85</v>
      </c>
      <c r="I197" s="30">
        <v>0.85</v>
      </c>
      <c r="J197" s="30">
        <v>0.85</v>
      </c>
      <c r="K197" s="30">
        <v>0.85</v>
      </c>
      <c r="L197" s="30">
        <v>0.85</v>
      </c>
      <c r="M197" s="30">
        <v>0.85</v>
      </c>
      <c r="N197" s="30">
        <v>0.85</v>
      </c>
      <c r="O197" s="30">
        <v>0.85</v>
      </c>
      <c r="P197" s="30">
        <v>0.85</v>
      </c>
      <c r="Q197" s="30">
        <v>0.85</v>
      </c>
      <c r="Z197" s="169"/>
      <c r="AA197" s="169"/>
      <c r="AB197" s="169"/>
      <c r="AC197" s="169"/>
    </row>
    <row r="198" spans="2:29" x14ac:dyDescent="0.35">
      <c r="B198" s="168"/>
      <c r="C198" s="16" t="s">
        <v>295</v>
      </c>
      <c r="D198" s="63">
        <f>IFERROR(VLOOKUP(D$4,NICU!$AA$5:$AI$18,2,FALSE),"")</f>
        <v>0.69335426478283624</v>
      </c>
      <c r="E198" s="63">
        <f>IFERROR(VLOOKUP(E$4,NICU!$AA$5:$AI$18,2,FALSE),"")</f>
        <v>0.70266969115337641</v>
      </c>
      <c r="F198" s="63">
        <f>IFERROR(VLOOKUP(F$4,NICU!$AA$5:$AI$18,2,FALSE),"")</f>
        <v>0.71801997394702566</v>
      </c>
      <c r="G198" s="63">
        <f>IFERROR(VLOOKUP(G$4,NICU!$AA$5:$AI$18,2,FALSE),"")</f>
        <v>0.67865246989003314</v>
      </c>
      <c r="H198" s="63">
        <f>IFERROR(VLOOKUP(H$4,NICU!$AA$5:$AI$18,2,FALSE),"")</f>
        <v>0.67961838681699915</v>
      </c>
      <c r="I198" s="63">
        <f>IFERROR(VLOOKUP(I$4,NICU!$AA$5:$AI$18,2,FALSE),"")</f>
        <v>0.6958333333333333</v>
      </c>
      <c r="J198" s="63">
        <f>IFERROR(VLOOKUP(J$4,NICU!$AA$5:$AI$18,2,FALSE),"")</f>
        <v>0.69277421590712185</v>
      </c>
      <c r="K198" s="63">
        <f>IFERROR(VLOOKUP(K$4,NICU!$AA$5:$AI$18,2,FALSE),"")</f>
        <v>0.70056204063986161</v>
      </c>
      <c r="L198" s="63">
        <f>IFERROR(VLOOKUP(L$4,NICU!$AA$5:$AI$18,2,FALSE),"")</f>
        <v>0.70520878174774004</v>
      </c>
      <c r="M198" s="63">
        <f>IFERROR(VLOOKUP(M$4,NICU!$AA$5:$AI$18,2,FALSE),"")</f>
        <v>0.67354011436492811</v>
      </c>
      <c r="N198" s="63">
        <f>IFERROR(VLOOKUP(N$4,NICU!$AA$5:$AI$18,2,FALSE),"")</f>
        <v>0.66203339452749366</v>
      </c>
      <c r="O198" s="63">
        <f>IFERROR(VLOOKUP(O$4,NICU!$AA$5:$AI$18,2,FALSE),"")</f>
        <v>0.67059537221596321</v>
      </c>
      <c r="P198" s="63">
        <f>IFERROR(VLOOKUP(P$4,NICU!$AA$5:$AI$18,2,FALSE),"")</f>
        <v>0.66695546699012298</v>
      </c>
      <c r="Q198" s="93" t="str">
        <f>IFERROR(VLOOKUP(Q$4,NICU!$AA$5:$AH$19,2,FALSE),"")</f>
        <v/>
      </c>
      <c r="Z198" s="169"/>
      <c r="AA198" s="169"/>
      <c r="AB198" s="169"/>
      <c r="AC198" s="169"/>
    </row>
    <row r="199" spans="2:29" x14ac:dyDescent="0.35">
      <c r="B199" s="168"/>
      <c r="C199" s="1" t="s">
        <v>1</v>
      </c>
      <c r="D199" s="156">
        <f>IFERROR(VLOOKUP(D$4,NICU!$AA$5:$AI$18,3,FALSE),"")</f>
        <v>0.73447772096420749</v>
      </c>
      <c r="E199" s="156">
        <f>IFERROR(VLOOKUP(E$4,NICU!$AA$5:$AI$18,3,FALSE),"")</f>
        <v>0.74218462670099306</v>
      </c>
      <c r="F199" s="156">
        <f>IFERROR(VLOOKUP(F$4,NICU!$AA$5:$AI$18,3,FALSE),"")</f>
        <v>0.77029992684711046</v>
      </c>
      <c r="G199" s="156">
        <f>IFERROR(VLOOKUP(G$4,NICU!$AA$5:$AI$18,3,FALSE),"")</f>
        <v>0.72341980270369022</v>
      </c>
      <c r="H199" s="156">
        <f>IFERROR(VLOOKUP(H$4,NICU!$AA$5:$AI$18,3,FALSE),"")</f>
        <v>0.70813571689164534</v>
      </c>
      <c r="I199" s="156">
        <f>IFERROR(VLOOKUP(I$4,NICU!$AA$5:$AI$18,3,FALSE),"")</f>
        <v>0.71103777044371108</v>
      </c>
      <c r="J199" s="156">
        <f>IFERROR(VLOOKUP(J$4,NICU!$AA$5:$AI$18,3,FALSE),"")</f>
        <v>0.72002923976608191</v>
      </c>
      <c r="K199" s="156">
        <f>IFERROR(VLOOKUP(K$4,NICU!$AA$5:$AI$18,3,FALSE),"")</f>
        <v>0.72697368421052633</v>
      </c>
      <c r="L199" s="156">
        <f>IFERROR(VLOOKUP(L$4,NICU!$AA$5:$AI$18,3,FALSE),"")</f>
        <v>0.70127970749542956</v>
      </c>
      <c r="M199" s="156">
        <f>IFERROR(VLOOKUP(M$4,NICU!$AA$5:$AI$18,3,FALSE),"")</f>
        <v>0.72341980270369022</v>
      </c>
      <c r="N199" s="156">
        <f>IFERROR(VLOOKUP(N$4,NICU!$AA$5:$AI$18,3,FALSE),"")</f>
        <v>0.70755064456721917</v>
      </c>
      <c r="O199" s="156">
        <f>IFERROR(VLOOKUP(O$4,NICU!$AA$5:$AI$18,3,FALSE),"")</f>
        <v>0.71789242590559821</v>
      </c>
      <c r="P199" s="156">
        <f>IFERROR(VLOOKUP(P$4,NICU!$AA$5:$AI$18,3,FALSE),"")</f>
        <v>0.70549450549450554</v>
      </c>
      <c r="Q199" s="69" t="str">
        <f>IFERROR(VLOOKUP(Q$4,NICU!$AA$5:$AH$19,3,FALSE),"")</f>
        <v/>
      </c>
      <c r="Z199" s="171" t="s">
        <v>325</v>
      </c>
      <c r="AA199" s="171"/>
      <c r="AB199" s="171"/>
      <c r="AC199" s="171"/>
    </row>
    <row r="200" spans="2:29" x14ac:dyDescent="0.35">
      <c r="B200" s="168"/>
      <c r="C200" s="1" t="s">
        <v>220</v>
      </c>
      <c r="D200" s="156">
        <f>IFERROR(VLOOKUP(D$4,NICU!$AA$5:$AI$18,4,FALSE),"")</f>
        <v>0.66465256797583083</v>
      </c>
      <c r="E200" s="156">
        <f>IFERROR(VLOOKUP(E$4,NICU!$AA$5:$AI$18,4,FALSE),"")</f>
        <v>0.69398907103825136</v>
      </c>
      <c r="F200" s="156">
        <f>IFERROR(VLOOKUP(F$4,NICU!$AA$5:$AI$18,4,FALSE),"")</f>
        <v>0.71322436849925708</v>
      </c>
      <c r="G200" s="156">
        <f>IFERROR(VLOOKUP(G$4,NICU!$AA$5:$AI$18,4,FALSE),"")</f>
        <v>0.66633064516129037</v>
      </c>
      <c r="H200" s="156">
        <f>IFERROR(VLOOKUP(H$4,NICU!$AA$5:$AI$18,4,FALSE),"")</f>
        <v>0.67454455933037916</v>
      </c>
      <c r="I200" s="156">
        <f>IFERROR(VLOOKUP(I$4,NICU!$AA$5:$AI$18,4,FALSE),"")</f>
        <v>0.69493177387914229</v>
      </c>
      <c r="J200" s="156">
        <f>IFERROR(VLOOKUP(J$4,NICU!$AA$5:$AI$18,4,FALSE),"")</f>
        <v>0.68912936546974912</v>
      </c>
      <c r="K200" s="156">
        <f>IFERROR(VLOOKUP(K$4,NICU!$AA$5:$AI$18,4,FALSE),"")</f>
        <v>0.69355632070831286</v>
      </c>
      <c r="L200" s="156">
        <f>IFERROR(VLOOKUP(L$4,NICU!$AA$5:$AI$18,4,FALSE),"")</f>
        <v>0.70238675109595716</v>
      </c>
      <c r="M200" s="156">
        <f>IFERROR(VLOOKUP(M$4,NICU!$AA$5:$AI$18,4,FALSE),"")</f>
        <v>0.6619373776908023</v>
      </c>
      <c r="N200" s="156">
        <f>IFERROR(VLOOKUP(N$4,NICU!$AA$5:$AI$18,4,FALSE),"")</f>
        <v>0.64593535749265429</v>
      </c>
      <c r="O200" s="156">
        <f>IFERROR(VLOOKUP(O$4,NICU!$AA$5:$AI$18,4,FALSE),"")</f>
        <v>0.66846229187071493</v>
      </c>
      <c r="P200" s="156">
        <f>IFERROR(VLOOKUP(P$4,NICU!$AA$5:$AI$18,4,FALSE),"")</f>
        <v>0.65824015556635873</v>
      </c>
      <c r="Q200" s="69" t="str">
        <f>IFERROR(VLOOKUP(Q$4,NICU!$AA$5:$AH$19,4,FALSE),"")</f>
        <v/>
      </c>
      <c r="Z200" s="171"/>
      <c r="AA200" s="171"/>
      <c r="AB200" s="171"/>
      <c r="AC200" s="171"/>
    </row>
    <row r="201" spans="2:29" x14ac:dyDescent="0.35">
      <c r="B201" s="168"/>
      <c r="C201" s="1" t="s">
        <v>248</v>
      </c>
      <c r="D201" s="156">
        <f>IFERROR(VLOOKUP(D$4,NICU!$AA$5:$AI$18,8,FALSE),"")</f>
        <v>0.60625501202886933</v>
      </c>
      <c r="E201" s="156">
        <f>IFERROR(VLOOKUP(E$4,NICU!$AA$5:$AI$18,8,FALSE),"")</f>
        <v>0.61367380560131801</v>
      </c>
      <c r="F201" s="156">
        <f>IFERROR(VLOOKUP(F$4,NICU!$AA$5:$AI$18,8,FALSE),"")</f>
        <v>0.63555194805194803</v>
      </c>
      <c r="G201" s="156">
        <f>IFERROR(VLOOKUP(G$4,NICU!$AA$5:$AI$18,8,FALSE),"")</f>
        <v>0.65172137710168132</v>
      </c>
      <c r="H201" s="156">
        <f>IFERROR(VLOOKUP(H$4,NICU!$AA$5:$AI$18,8,FALSE),"")</f>
        <v>0.69561815336463229</v>
      </c>
      <c r="I201" s="156">
        <f>IFERROR(VLOOKUP(I$4,NICU!$AA$5:$AI$18,8,FALSE),"")</f>
        <v>0.63900080580177276</v>
      </c>
      <c r="J201" s="156">
        <f>IFERROR(VLOOKUP(J$4,NICU!$AA$5:$AI$18,8,FALSE),"")</f>
        <v>0.63888888888888884</v>
      </c>
      <c r="K201" s="156">
        <f>IFERROR(VLOOKUP(K$4,NICU!$AA$5:$AI$18,8,FALSE),"")</f>
        <v>0.65995165189363414</v>
      </c>
      <c r="L201" s="156">
        <f>IFERROR(VLOOKUP(L$4,NICU!$AA$5:$AI$18,8,FALSE),"")</f>
        <v>0.64988009592326135</v>
      </c>
      <c r="M201" s="156">
        <f>IFERROR(VLOOKUP(M$4,NICU!$AA$5:$AI$18,8,FALSE),"")</f>
        <v>0.6254948535233571</v>
      </c>
      <c r="N201" s="156">
        <f>IFERROR(VLOOKUP(N$4,NICU!$AA$5:$AI$18,8,FALSE),"")</f>
        <v>0.64834276475343577</v>
      </c>
      <c r="O201" s="156">
        <f>IFERROR(VLOOKUP(O$4,NICU!$AA$5:$AI$18,8,FALSE),"")</f>
        <v>0.64395782643957822</v>
      </c>
      <c r="P201" s="156">
        <f>IFERROR(VLOOKUP(P$4,NICU!$AA$5:$AI$18,8,FALSE),"")</f>
        <v>0.65150284321689678</v>
      </c>
      <c r="Q201" s="69"/>
      <c r="Z201" s="171"/>
      <c r="AA201" s="171"/>
      <c r="AB201" s="171"/>
      <c r="AC201" s="171"/>
    </row>
    <row r="202" spans="2:29" x14ac:dyDescent="0.35">
      <c r="B202" s="168"/>
      <c r="C202" s="1" t="s">
        <v>249</v>
      </c>
      <c r="D202" s="156">
        <f>IFERROR(VLOOKUP(D$4,NICU!$AA$5:$AI$18,5,FALSE),"")</f>
        <v>0.74018126888217528</v>
      </c>
      <c r="E202" s="156">
        <f>IFERROR(VLOOKUP(E$4,NICU!$AA$5:$AI$18,5,FALSE),"")</f>
        <v>0.73318551367331852</v>
      </c>
      <c r="F202" s="156">
        <f>IFERROR(VLOOKUP(F$4,NICU!$AA$5:$AI$18,5,FALSE),"")</f>
        <v>0.74469641550841259</v>
      </c>
      <c r="G202" s="156">
        <f>IFERROR(VLOOKUP(G$4,NICU!$AA$5:$AI$18,5,FALSE),"")</f>
        <v>0.69751693002257331</v>
      </c>
      <c r="H202" s="156">
        <f>IFERROR(VLOOKUP(H$4,NICU!$AA$5:$AI$18,5,FALSE),"")</f>
        <v>0.68634969325153372</v>
      </c>
      <c r="I202" s="156">
        <f>IFERROR(VLOOKUP(I$4,NICU!$AA$5:$AI$18,5,FALSE),"")</f>
        <v>0.71406844106463874</v>
      </c>
      <c r="J202" s="156">
        <f>IFERROR(VLOOKUP(J$4,NICU!$AA$5:$AI$18,5,FALSE),"")</f>
        <v>0.71819526627218933</v>
      </c>
      <c r="K202" s="156">
        <f>IFERROR(VLOOKUP(K$4,NICU!$AA$5:$AI$18,5,FALSE),"")</f>
        <v>0.70878721859114013</v>
      </c>
      <c r="L202" s="156">
        <f>IFERROR(VLOOKUP(L$4,NICU!$AA$5:$AI$18,5,FALSE),"")</f>
        <v>0.72786177105831529</v>
      </c>
      <c r="M202" s="156">
        <f>IFERROR(VLOOKUP(M$4,NICU!$AA$5:$AI$18,5,FALSE),"")</f>
        <v>0.6962962962962963</v>
      </c>
      <c r="N202" s="156">
        <f>IFERROR(VLOOKUP(N$4,NICU!$AA$5:$AI$18,5,FALSE),"")</f>
        <v>0.68679245283018864</v>
      </c>
      <c r="O202" s="156">
        <f>IFERROR(VLOOKUP(O$4,NICU!$AA$5:$AI$18,5,FALSE),"")</f>
        <v>0.67817781043350478</v>
      </c>
      <c r="P202" s="156">
        <f>IFERROR(VLOOKUP(P$4,NICU!$AA$5:$AI$18,5,FALSE),"")</f>
        <v>0.66296296296296298</v>
      </c>
      <c r="Q202" s="69"/>
      <c r="Z202" s="171"/>
      <c r="AA202" s="171"/>
      <c r="AB202" s="171"/>
      <c r="AC202" s="171"/>
    </row>
    <row r="203" spans="2:29" x14ac:dyDescent="0.35">
      <c r="B203" s="168"/>
      <c r="C203" s="1" t="s">
        <v>251</v>
      </c>
      <c r="D203" s="156">
        <f>IFERROR(VLOOKUP(D$4,NICU!$AA$5:$AI$18,9,FALSE),"")</f>
        <v>0.71785173978819972</v>
      </c>
      <c r="E203" s="156">
        <f>IFERROR(VLOOKUP(E$4,NICU!$AA$5:$AI$18,9,FALSE),"")</f>
        <v>0.65910808767951623</v>
      </c>
      <c r="F203" s="156">
        <f>IFERROR(VLOOKUP(F$4,NICU!$AA$5:$AI$18,9,FALSE),"")</f>
        <v>0.63265306122448983</v>
      </c>
      <c r="G203" s="156">
        <f>IFERROR(VLOOKUP(G$4,NICU!$AA$5:$AI$18,9,FALSE),"")</f>
        <v>0.59414853713428362</v>
      </c>
      <c r="H203" s="156">
        <f>IFERROR(VLOOKUP(H$4,NICU!$AA$5:$AI$18,9,FALSE),"")</f>
        <v>0.62102874432677757</v>
      </c>
      <c r="I203" s="156">
        <f>IFERROR(VLOOKUP(I$4,NICU!$AA$5:$AI$18,9,FALSE),"")</f>
        <v>0.6205593348450491</v>
      </c>
      <c r="J203" s="156">
        <f>IFERROR(VLOOKUP(J$4,NICU!$AA$5:$AI$18,9,FALSE),"")</f>
        <v>0.60738507912584783</v>
      </c>
      <c r="K203" s="156">
        <f>IFERROR(VLOOKUP(K$4,NICU!$AA$5:$AI$18,9,FALSE),"")</f>
        <v>0.6171816126601356</v>
      </c>
      <c r="L203" s="156">
        <f>IFERROR(VLOOKUP(L$4,NICU!$AA$5:$AI$18,9,FALSE),"")</f>
        <v>0.62367223065250377</v>
      </c>
      <c r="M203" s="156">
        <f>IFERROR(VLOOKUP(M$4,NICU!$AA$5:$AI$18,9,FALSE),"")</f>
        <v>0.59073652239939256</v>
      </c>
      <c r="N203" s="156">
        <f>IFERROR(VLOOKUP(N$4,NICU!$AA$5:$AI$18,9,FALSE),"")</f>
        <v>0.60198624904507259</v>
      </c>
      <c r="O203" s="156">
        <f>IFERROR(VLOOKUP(O$4,NICU!$AA$5:$AI$18,9,FALSE),"")</f>
        <v>0.59970674486803521</v>
      </c>
      <c r="P203" s="156">
        <f>IFERROR(VLOOKUP(P$4,NICU!$AA$5:$AI$18,9,FALSE),"")</f>
        <v>0.58784773060029283</v>
      </c>
      <c r="Q203" s="69" t="str">
        <f>IFERROR(VLOOKUP(Q$4,NICU!$AA$5:$AH$19,5,FALSE),"")</f>
        <v/>
      </c>
      <c r="Z203" s="171"/>
      <c r="AA203" s="171"/>
      <c r="AB203" s="171"/>
      <c r="AC203" s="171"/>
    </row>
    <row r="204" spans="2:29" x14ac:dyDescent="0.35">
      <c r="B204" s="168"/>
      <c r="C204" s="1" t="s">
        <v>217</v>
      </c>
      <c r="D204" s="156">
        <f>IFERROR(VLOOKUP(D$4,NICU!$AA$5:$AI$18,6,FALSE),"")</f>
        <v>0.64765669113495206</v>
      </c>
      <c r="E204" s="156">
        <f>IFERROR(VLOOKUP(E$4,NICU!$AA$5:$AI$18,6,FALSE),"")</f>
        <v>0.69125993189557322</v>
      </c>
      <c r="F204" s="156">
        <f>IFERROR(VLOOKUP(F$4,NICU!$AA$5:$AI$18,6,FALSE),"")</f>
        <v>0.69090909090909092</v>
      </c>
      <c r="G204" s="156">
        <f>IFERROR(VLOOKUP(G$4,NICU!$AA$5:$AI$18,6,FALSE),"")</f>
        <v>0.63443935926773454</v>
      </c>
      <c r="H204" s="156">
        <f>IFERROR(VLOOKUP(H$4,NICU!$AA$5:$AI$18,6,FALSE),"")</f>
        <v>0.64245495495495497</v>
      </c>
      <c r="I204" s="156">
        <f>IFERROR(VLOOKUP(I$4,NICU!$AA$5:$AI$18,6,FALSE),"")</f>
        <v>0.73191250701065624</v>
      </c>
      <c r="J204" s="156">
        <f>IFERROR(VLOOKUP(J$4,NICU!$AA$5:$AI$18,6,FALSE),"")</f>
        <v>0.71753986332574027</v>
      </c>
      <c r="K204" s="156">
        <f>IFERROR(VLOOKUP(K$4,NICU!$AA$5:$AI$18,6,FALSE),"")</f>
        <v>0.7221908526256352</v>
      </c>
      <c r="L204" s="156">
        <f>IFERROR(VLOOKUP(L$4,NICU!$AA$5:$AI$18,6,FALSE),"")</f>
        <v>0.75321049692908992</v>
      </c>
      <c r="M204" s="156">
        <f>IFERROR(VLOOKUP(M$4,NICU!$AA$5:$AI$18,6,FALSE),"")</f>
        <v>0.672561323445522</v>
      </c>
      <c r="N204" s="156">
        <f>IFERROR(VLOOKUP(N$4,NICU!$AA$5:$AI$18,6,FALSE),"")</f>
        <v>0.63300634737449513</v>
      </c>
      <c r="O204" s="156">
        <f>IFERROR(VLOOKUP(O$4,NICU!$AA$5:$AI$18,6,FALSE),"")</f>
        <v>0.6560509554140127</v>
      </c>
      <c r="P204" s="156">
        <f>IFERROR(VLOOKUP(P$4,NICU!$AA$5:$AI$18,6,FALSE),"")</f>
        <v>0.67225433526011558</v>
      </c>
      <c r="Q204" s="69" t="str">
        <f>IFERROR(VLOOKUP(Q$4,NICU!$AA$5:$AH$19,6,FALSE),"")</f>
        <v/>
      </c>
      <c r="Z204" s="171"/>
      <c r="AA204" s="171"/>
      <c r="AB204" s="171"/>
      <c r="AC204" s="171"/>
    </row>
    <row r="205" spans="2:29" ht="15" customHeight="1" x14ac:dyDescent="0.35">
      <c r="B205" s="168"/>
      <c r="C205" s="11" t="s">
        <v>218</v>
      </c>
      <c r="D205" s="156">
        <f>IFERROR(VLOOKUP(D$4,NICU!$AA$5:$AI$18,7,FALSE),"")</f>
        <v>0.73005565862708721</v>
      </c>
      <c r="E205" s="156">
        <f>IFERROR(VLOOKUP(E$4,NICU!$AA$5:$AI$18,7,FALSE),"")</f>
        <v>0.75324675324675328</v>
      </c>
      <c r="F205" s="156">
        <f>IFERROR(VLOOKUP(F$4,NICU!$AA$5:$AI$18,7,FALSE),"")</f>
        <v>0.8037037037037037</v>
      </c>
      <c r="G205" s="156">
        <f>IFERROR(VLOOKUP(G$4,NICU!$AA$5:$AI$18,7,FALSE),"")</f>
        <v>0.7717996289424861</v>
      </c>
      <c r="H205" s="156">
        <f>IFERROR(VLOOKUP(H$4,NICU!$AA$5:$AI$18,7,FALSE),"")</f>
        <v>0.72263450834879406</v>
      </c>
      <c r="I205" s="156">
        <f>IFERROR(VLOOKUP(I$4,NICU!$AA$5:$AI$18,7,FALSE),"")</f>
        <v>0.73493975903614461</v>
      </c>
      <c r="J205" s="156">
        <f>IFERROR(VLOOKUP(J$4,NICU!$AA$5:$AI$18,7,FALSE),"")</f>
        <v>0.72634508348794058</v>
      </c>
      <c r="K205" s="156">
        <f>IFERROR(VLOOKUP(K$4,NICU!$AA$5:$AI$18,7,FALSE),"")</f>
        <v>0.75</v>
      </c>
      <c r="L205" s="156">
        <f>IFERROR(VLOOKUP(L$4,NICU!$AA$5:$AI$18,7,FALSE),"")</f>
        <v>0.77551020408163263</v>
      </c>
      <c r="M205" s="156">
        <f>IFERROR(VLOOKUP(M$4,NICU!$AA$5:$AI$18,7,FALSE),"")</f>
        <v>0.69944341372912799</v>
      </c>
      <c r="N205" s="156">
        <f>IFERROR(VLOOKUP(N$4,NICU!$AA$5:$AI$18,7,FALSE),"")</f>
        <v>0.68274582560296848</v>
      </c>
      <c r="O205" s="156">
        <f>IFERROR(VLOOKUP(O$4,NICU!$AA$5:$AI$18,7,FALSE),"")</f>
        <v>0.68860055607043558</v>
      </c>
      <c r="P205" s="156">
        <f>IFERROR(VLOOKUP(P$4,NICU!$AA$5:$AI$18,7,FALSE),"")</f>
        <v>0.70037105751391471</v>
      </c>
      <c r="Q205" s="69" t="str">
        <f>IFERROR(VLOOKUP(Q$4,NICU!$AA$5:$AH$19,7,FALSE),"")</f>
        <v/>
      </c>
      <c r="Z205" s="171"/>
      <c r="AA205" s="171"/>
      <c r="AB205" s="171"/>
      <c r="AC205" s="171"/>
    </row>
    <row r="206" spans="2:29" ht="7.5" customHeight="1" x14ac:dyDescent="0.35">
      <c r="B206" s="168"/>
      <c r="C206" s="11"/>
      <c r="D206" s="69"/>
      <c r="E206" s="69"/>
      <c r="F206" s="69"/>
      <c r="G206" s="69"/>
      <c r="H206" s="69"/>
      <c r="I206" s="69"/>
      <c r="J206" s="69"/>
      <c r="K206" s="69"/>
      <c r="L206" s="69"/>
      <c r="M206" s="69"/>
      <c r="N206" s="69"/>
      <c r="O206" s="69"/>
      <c r="P206" s="69"/>
      <c r="Q206" s="69"/>
      <c r="Z206" s="171"/>
      <c r="AA206" s="171"/>
      <c r="AB206" s="171"/>
      <c r="AC206" s="171"/>
    </row>
    <row r="207" spans="2:29" x14ac:dyDescent="0.35">
      <c r="B207" s="168"/>
      <c r="C207" s="12" t="s">
        <v>17</v>
      </c>
      <c r="D207" s="130">
        <v>399.57142857142856</v>
      </c>
      <c r="E207" s="130">
        <v>380.42857142857144</v>
      </c>
      <c r="F207" s="130">
        <v>377.14285714285717</v>
      </c>
      <c r="G207" s="130">
        <v>427.71428571428572</v>
      </c>
      <c r="H207" s="130">
        <v>457.57142857142856</v>
      </c>
      <c r="I207" s="130">
        <v>439.42857142857144</v>
      </c>
      <c r="J207" s="130">
        <v>447.42857142857144</v>
      </c>
      <c r="K207" s="130">
        <v>448.42857142857144</v>
      </c>
      <c r="L207" s="130">
        <v>438.57142857142856</v>
      </c>
      <c r="M207" s="130">
        <v>459</v>
      </c>
      <c r="N207" s="130">
        <v>443.14285714285717</v>
      </c>
      <c r="O207" s="130">
        <v>459.14285714285717</v>
      </c>
      <c r="P207" s="130">
        <v>470.85714285714283</v>
      </c>
      <c r="Z207" s="171"/>
      <c r="AA207" s="171"/>
      <c r="AB207" s="171"/>
      <c r="AC207" s="171"/>
    </row>
    <row r="208" spans="2:29" x14ac:dyDescent="0.35">
      <c r="B208" s="168"/>
      <c r="C208" s="11" t="s">
        <v>283</v>
      </c>
      <c r="D208" s="131">
        <v>606.14285714285711</v>
      </c>
      <c r="E208" s="131">
        <v>605.28571428571433</v>
      </c>
      <c r="F208" s="131">
        <v>557</v>
      </c>
      <c r="G208" s="131">
        <v>552.57142857142856</v>
      </c>
      <c r="H208" s="131">
        <v>557</v>
      </c>
      <c r="I208" s="131">
        <v>536</v>
      </c>
      <c r="J208" s="131">
        <v>538.85714285714289</v>
      </c>
      <c r="K208" s="131">
        <v>553.85714285714289</v>
      </c>
      <c r="L208" s="131">
        <v>563</v>
      </c>
      <c r="M208" s="131">
        <v>579.85714285714289</v>
      </c>
      <c r="N208" s="131">
        <v>582.71428571428567</v>
      </c>
      <c r="O208" s="131">
        <v>583.71428571428567</v>
      </c>
      <c r="P208" s="131">
        <v>563</v>
      </c>
      <c r="Z208" s="171"/>
      <c r="AA208" s="171"/>
      <c r="AB208" s="171"/>
      <c r="AC208" s="171"/>
    </row>
    <row r="209" spans="2:29" ht="7.5" customHeight="1" x14ac:dyDescent="0.35">
      <c r="B209" s="168"/>
      <c r="C209" s="1"/>
      <c r="Z209" s="171"/>
      <c r="AA209" s="171"/>
      <c r="AB209" s="171"/>
      <c r="AC209" s="171"/>
    </row>
    <row r="210" spans="2:29" x14ac:dyDescent="0.35">
      <c r="B210" s="168"/>
      <c r="C210" s="16" t="s">
        <v>295</v>
      </c>
      <c r="D210" s="62">
        <f>IFERROR(VLOOKUP(D$4,NICU!$BL$5:$BT$18,2,FALSE),"")</f>
        <v>502.28571428571428</v>
      </c>
      <c r="E210" s="62">
        <f>IFERROR(VLOOKUP(E$4,NICU!$BL$5:$BT$18,2,FALSE),"")</f>
        <v>486.85714285714283</v>
      </c>
      <c r="F210" s="62">
        <f>IFERROR(VLOOKUP(F$4,NICU!$BL$5:$BT$18,2,FALSE),"")</f>
        <v>463.85714285714283</v>
      </c>
      <c r="G210" s="62">
        <f>IFERROR(VLOOKUP(G$4,NICU!$BL$5:$BT$18,2,FALSE),"")</f>
        <v>526</v>
      </c>
      <c r="H210" s="62">
        <f>IFERROR(VLOOKUP(H$4,NICU!$BL$5:$BT$18,2,FALSE),"")</f>
        <v>527.71428571428567</v>
      </c>
      <c r="I210" s="62">
        <f>IFERROR(VLOOKUP(I$4,NICU!$BL$5:$BT$18,2,FALSE),"")</f>
        <v>500.57142857142856</v>
      </c>
      <c r="J210" s="62">
        <f>IFERROR(VLOOKUP(J$4,NICU!$BL$5:$BT$18,2,FALSE),"")</f>
        <v>506.57142857142856</v>
      </c>
      <c r="K210" s="62">
        <f>IFERROR(VLOOKUP(K$4,NICU!$BL$5:$BT$18,2,FALSE),"")</f>
        <v>494.71428571428572</v>
      </c>
      <c r="L210" s="62">
        <f>IFERROR(VLOOKUP(L$4,NICU!$BL$5:$BT$18,2,FALSE),"")</f>
        <v>489.14285714285717</v>
      </c>
      <c r="M210" s="62">
        <f>IFERROR(VLOOKUP(M$4,NICU!$BL$5:$BT$18,2,FALSE),"")</f>
        <v>538.28571428571433</v>
      </c>
      <c r="N210" s="62">
        <f>IFERROR(VLOOKUP(N$4,NICU!$BL$5:$BT$18,2,FALSE),"")</f>
        <v>552.28571428571433</v>
      </c>
      <c r="O210" s="62">
        <f>IFERROR(VLOOKUP(O$4,NICU!$BL$5:$BT$18,2,FALSE),"")</f>
        <v>543</v>
      </c>
      <c r="P210" s="62">
        <f>IFERROR(VLOOKUP(P$4,NICU!$BL$5:$BT$18,2,FALSE),"")</f>
        <v>549.14285714285711</v>
      </c>
      <c r="Q210" s="94" t="str">
        <f>IFERROR(VLOOKUP(Q$4,NICU!$BL$5:$BS$19,2,FALSE),"")</f>
        <v/>
      </c>
      <c r="S210" s="3"/>
      <c r="Z210" s="171"/>
      <c r="AA210" s="171"/>
      <c r="AB210" s="171"/>
      <c r="AC210" s="171"/>
    </row>
    <row r="211" spans="2:29" x14ac:dyDescent="0.35">
      <c r="B211" s="168"/>
      <c r="C211" s="1" t="s">
        <v>1</v>
      </c>
      <c r="D211" s="155">
        <f>IFERROR(VLOOKUP(D$4,NICU!$BL$5:$BT$18,3,FALSE),"")</f>
        <v>103.85714285714286</v>
      </c>
      <c r="E211" s="155">
        <f>IFERROR(VLOOKUP(E$4,NICU!$BL$5:$BT$18,3,FALSE),"")</f>
        <v>100.14285714285714</v>
      </c>
      <c r="F211" s="155">
        <f>IFERROR(VLOOKUP(F$4,NICU!$BL$5:$BT$18,3,FALSE),"")</f>
        <v>89.714285714285708</v>
      </c>
      <c r="G211" s="155">
        <f>IFERROR(VLOOKUP(G$4,NICU!$BL$5:$BT$18,3,FALSE),"")</f>
        <v>108.14285714285714</v>
      </c>
      <c r="H211" s="155">
        <f>IFERROR(VLOOKUP(H$4,NICU!$BL$5:$BT$18,3,FALSE),"")</f>
        <v>114.28571428571429</v>
      </c>
      <c r="I211" s="155">
        <f>IFERROR(VLOOKUP(I$4,NICU!$BL$5:$BT$18,3,FALSE),"")</f>
        <v>112.57142857142857</v>
      </c>
      <c r="J211" s="155">
        <f>IFERROR(VLOOKUP(J$4,NICU!$BL$5:$BT$18,3,FALSE),"")</f>
        <v>109.42857142857143</v>
      </c>
      <c r="K211" s="155">
        <f>IFERROR(VLOOKUP(K$4,NICU!$BL$5:$BT$18,3,FALSE),"")</f>
        <v>106.71428571428571</v>
      </c>
      <c r="L211" s="155">
        <f>IFERROR(VLOOKUP(L$4,NICU!$BL$5:$BT$18,3,FALSE),"")</f>
        <v>116.71428571428571</v>
      </c>
      <c r="M211" s="155">
        <f>IFERROR(VLOOKUP(M$4,NICU!$BL$5:$BT$18,3,FALSE),"")</f>
        <v>108.14285714285714</v>
      </c>
      <c r="N211" s="155">
        <f>IFERROR(VLOOKUP(N$4,NICU!$BL$5:$BT$18,3,FALSE),"")</f>
        <v>113.42857142857143</v>
      </c>
      <c r="O211" s="155">
        <f>IFERROR(VLOOKUP(O$4,NICU!$BL$5:$BT$18,3,FALSE),"")</f>
        <v>110.14285714285714</v>
      </c>
      <c r="P211" s="155">
        <f>IFERROR(VLOOKUP(P$4,NICU!$BL$5:$BT$18,3,FALSE),"")</f>
        <v>114.85714285714286</v>
      </c>
      <c r="Q211" s="95" t="str">
        <f>IFERROR(VLOOKUP(Q$4,NICU!$BL$5:$BS$19,3,FALSE),"")</f>
        <v/>
      </c>
      <c r="Z211" s="171"/>
      <c r="AA211" s="171"/>
      <c r="AB211" s="171"/>
      <c r="AC211" s="171"/>
    </row>
    <row r="212" spans="2:29" x14ac:dyDescent="0.35">
      <c r="B212" s="168"/>
      <c r="C212" s="1" t="s">
        <v>220</v>
      </c>
      <c r="D212" s="155">
        <f>IFERROR(VLOOKUP(D$4,NICU!$BL$5:$BT$18,4,FALSE),"")</f>
        <v>95.142857142857139</v>
      </c>
      <c r="E212" s="155">
        <f>IFERROR(VLOOKUP(E$4,NICU!$BL$5:$BT$18,4,FALSE),"")</f>
        <v>88</v>
      </c>
      <c r="F212" s="155">
        <f>IFERROR(VLOOKUP(F$4,NICU!$BL$5:$BT$18,4,FALSE),"")</f>
        <v>82.714285714285708</v>
      </c>
      <c r="G212" s="155">
        <f>IFERROR(VLOOKUP(G$4,NICU!$BL$5:$BT$18,4,FALSE),"")</f>
        <v>94.571428571428569</v>
      </c>
      <c r="H212" s="155">
        <f>IFERROR(VLOOKUP(H$4,NICU!$BL$5:$BT$18,4,FALSE),"")</f>
        <v>94.428571428571431</v>
      </c>
      <c r="I212" s="155">
        <f>IFERROR(VLOOKUP(I$4,NICU!$BL$5:$BT$18,4,FALSE),"")</f>
        <v>89.428571428571431</v>
      </c>
      <c r="J212" s="155">
        <f>IFERROR(VLOOKUP(J$4,NICU!$BL$5:$BT$18,4,FALSE),"")</f>
        <v>90.285714285714292</v>
      </c>
      <c r="K212" s="155">
        <f>IFERROR(VLOOKUP(K$4,NICU!$BL$5:$BT$18,4,FALSE),"")</f>
        <v>89</v>
      </c>
      <c r="L212" s="155">
        <f>IFERROR(VLOOKUP(L$4,NICU!$BL$5:$BT$18,4,FALSE),"")</f>
        <v>87.285714285714292</v>
      </c>
      <c r="M212" s="155">
        <f>IFERROR(VLOOKUP(M$4,NICU!$BL$5:$BT$18,4,FALSE),"")</f>
        <v>98.714285714285708</v>
      </c>
      <c r="N212" s="155">
        <f>IFERROR(VLOOKUP(N$4,NICU!$BL$5:$BT$18,4,FALSE),"")</f>
        <v>103.28571428571429</v>
      </c>
      <c r="O212" s="155">
        <f>IFERROR(VLOOKUP(O$4,NICU!$BL$5:$BT$18,4,FALSE),"")</f>
        <v>96.714285714285708</v>
      </c>
      <c r="P212" s="155">
        <f>IFERROR(VLOOKUP(P$4,NICU!$BL$5:$BT$18,4,FALSE),"")</f>
        <v>100.42857142857143</v>
      </c>
      <c r="Q212" s="95" t="str">
        <f>IFERROR(VLOOKUP(Q$4,NICU!$BL$5:$BS$19,4,FALSE),"")</f>
        <v/>
      </c>
      <c r="Z212" s="171"/>
      <c r="AA212" s="171"/>
      <c r="AB212" s="171"/>
      <c r="AC212" s="171"/>
    </row>
    <row r="213" spans="2:29" x14ac:dyDescent="0.35">
      <c r="B213" s="168"/>
      <c r="C213" s="1" t="s">
        <v>248</v>
      </c>
      <c r="D213" s="155">
        <f>IFERROR(VLOOKUP(D$4,NICU!$BL$5:$BT$18,8,FALSE),"")</f>
        <v>70.142857142857139</v>
      </c>
      <c r="E213" s="155">
        <f>IFERROR(VLOOKUP(E$4,NICU!$BL$5:$BT$18,8,FALSE),"")</f>
        <v>67</v>
      </c>
      <c r="F213" s="155">
        <f>IFERROR(VLOOKUP(F$4,NICU!$BL$5:$BT$18,8,FALSE),"")</f>
        <v>64.142857142857139</v>
      </c>
      <c r="G213" s="155">
        <f>IFERROR(VLOOKUP(G$4,NICU!$BL$5:$BT$18,8,FALSE),"")</f>
        <v>62.142857142857146</v>
      </c>
      <c r="H213" s="155">
        <f>IFERROR(VLOOKUP(H$4,NICU!$BL$5:$BT$18,8,FALSE),"")</f>
        <v>55.571428571428569</v>
      </c>
      <c r="I213" s="155">
        <f>IFERROR(VLOOKUP(I$4,NICU!$BL$5:$BT$18,8,FALSE),"")</f>
        <v>64</v>
      </c>
      <c r="J213" s="155">
        <f>IFERROR(VLOOKUP(J$4,NICU!$BL$5:$BT$18,8,FALSE),"")</f>
        <v>65</v>
      </c>
      <c r="K213" s="155">
        <f>IFERROR(VLOOKUP(K$4,NICU!$BL$5:$BT$18,8,FALSE),"")</f>
        <v>60.285714285714285</v>
      </c>
      <c r="L213" s="155">
        <f>IFERROR(VLOOKUP(L$4,NICU!$BL$5:$BT$18,8,FALSE),"")</f>
        <v>62.571428571428569</v>
      </c>
      <c r="M213" s="155">
        <f>IFERROR(VLOOKUP(M$4,NICU!$BL$5:$BT$18,8,FALSE),"")</f>
        <v>67.571428571428569</v>
      </c>
      <c r="N213" s="155">
        <f>IFERROR(VLOOKUP(N$4,NICU!$BL$5:$BT$18,8,FALSE),"")</f>
        <v>62.142857142857146</v>
      </c>
      <c r="O213" s="155">
        <f>IFERROR(VLOOKUP(O$4,NICU!$BL$5:$BT$18,8,FALSE),"")</f>
        <v>62.714285714285715</v>
      </c>
      <c r="P213" s="155">
        <f>IFERROR(VLOOKUP(P$4,NICU!$BL$5:$BT$18,8,FALSE),"")</f>
        <v>61.285714285714285</v>
      </c>
      <c r="Q213" s="95"/>
      <c r="Z213" s="171"/>
      <c r="AA213" s="171"/>
      <c r="AB213" s="171"/>
      <c r="AC213" s="171"/>
    </row>
    <row r="214" spans="2:29" x14ac:dyDescent="0.35">
      <c r="B214" s="168"/>
      <c r="C214" s="1" t="s">
        <v>249</v>
      </c>
      <c r="D214" s="155">
        <f>IFERROR(VLOOKUP(D$4,NICU!$BL$5:$BT$18,5,FALSE),"")</f>
        <v>49.142857142857146</v>
      </c>
      <c r="E214" s="155">
        <f>IFERROR(VLOOKUP(E$4,NICU!$BL$5:$BT$18,5,FALSE),"")</f>
        <v>51.571428571428569</v>
      </c>
      <c r="F214" s="155">
        <f>IFERROR(VLOOKUP(F$4,NICU!$BL$5:$BT$18,5,FALSE),"")</f>
        <v>49.857142857142854</v>
      </c>
      <c r="G214" s="155">
        <f>IFERROR(VLOOKUP(G$4,NICU!$BL$5:$BT$18,5,FALSE),"")</f>
        <v>57.428571428571431</v>
      </c>
      <c r="H214" s="155">
        <f>IFERROR(VLOOKUP(H$4,NICU!$BL$5:$BT$18,5,FALSE),"")</f>
        <v>58.428571428571431</v>
      </c>
      <c r="I214" s="155">
        <f>IFERROR(VLOOKUP(I$4,NICU!$BL$5:$BT$18,5,FALSE),"")</f>
        <v>53.714285714285715</v>
      </c>
      <c r="J214" s="155">
        <f>IFERROR(VLOOKUP(J$4,NICU!$BL$5:$BT$18,5,FALSE),"")</f>
        <v>54.428571428571431</v>
      </c>
      <c r="K214" s="155">
        <f>IFERROR(VLOOKUP(K$4,NICU!$BL$5:$BT$18,5,FALSE),"")</f>
        <v>57.285714285714285</v>
      </c>
      <c r="L214" s="155">
        <f>IFERROR(VLOOKUP(L$4,NICU!$BL$5:$BT$18,5,FALSE),"")</f>
        <v>54</v>
      </c>
      <c r="M214" s="155">
        <f>IFERROR(VLOOKUP(M$4,NICU!$BL$5:$BT$18,5,FALSE),"")</f>
        <v>58.571428571428569</v>
      </c>
      <c r="N214" s="155">
        <f>IFERROR(VLOOKUP(N$4,NICU!$BL$5:$BT$18,5,FALSE),"")</f>
        <v>59.285714285714285</v>
      </c>
      <c r="O214" s="155">
        <f>IFERROR(VLOOKUP(O$4,NICU!$BL$5:$BT$18,5,FALSE),"")</f>
        <v>62.571428571428569</v>
      </c>
      <c r="P214" s="155">
        <f>IFERROR(VLOOKUP(P$4,NICU!$BL$5:$BT$18,5,FALSE),"")</f>
        <v>65</v>
      </c>
      <c r="Q214" s="95"/>
      <c r="Z214" s="171"/>
      <c r="AA214" s="171"/>
      <c r="AB214" s="171"/>
      <c r="AC214" s="171"/>
    </row>
    <row r="215" spans="2:29" x14ac:dyDescent="0.35">
      <c r="B215" s="168"/>
      <c r="C215" s="1" t="s">
        <v>251</v>
      </c>
      <c r="D215" s="155">
        <f>IFERROR(VLOOKUP(D$4,NICU!$BL$5:$BT$18,9,FALSE),"")</f>
        <v>53.285714285714285</v>
      </c>
      <c r="E215" s="155">
        <f>IFERROR(VLOOKUP(E$4,NICU!$BL$5:$BT$18,9,FALSE),"")</f>
        <v>64.428571428571431</v>
      </c>
      <c r="F215" s="155">
        <f>IFERROR(VLOOKUP(F$4,NICU!$BL$5:$BT$18,9,FALSE),"")</f>
        <v>69.428571428571431</v>
      </c>
      <c r="G215" s="155">
        <f>IFERROR(VLOOKUP(G$4,NICU!$BL$5:$BT$18,9,FALSE),"")</f>
        <v>77.285714285714292</v>
      </c>
      <c r="H215" s="155">
        <f>IFERROR(VLOOKUP(H$4,NICU!$BL$5:$BT$18,9,FALSE),"")</f>
        <v>71.571428571428569</v>
      </c>
      <c r="I215" s="155">
        <f>IFERROR(VLOOKUP(I$4,NICU!$BL$5:$BT$18,9,FALSE),"")</f>
        <v>71.714285714285708</v>
      </c>
      <c r="J215" s="155">
        <f>IFERROR(VLOOKUP(J$4,NICU!$BL$5:$BT$18,9,FALSE),"")</f>
        <v>74.428571428571431</v>
      </c>
      <c r="K215" s="155">
        <f>IFERROR(VLOOKUP(K$4,NICU!$BL$5:$BT$18,9,FALSE),"")</f>
        <v>72.571428571428569</v>
      </c>
      <c r="L215" s="155">
        <f>IFERROR(VLOOKUP(L$4,NICU!$BL$5:$BT$18,9,FALSE),"")</f>
        <v>70.857142857142861</v>
      </c>
      <c r="M215" s="155">
        <f>IFERROR(VLOOKUP(M$4,NICU!$BL$5:$BT$18,9,FALSE),"")</f>
        <v>77</v>
      </c>
      <c r="N215" s="155">
        <f>IFERROR(VLOOKUP(N$4,NICU!$BL$5:$BT$18,9,FALSE),"")</f>
        <v>74.428571428571431</v>
      </c>
      <c r="O215" s="155">
        <f>IFERROR(VLOOKUP(O$4,NICU!$BL$5:$BT$18,9,FALSE),"")</f>
        <v>78</v>
      </c>
      <c r="P215" s="155">
        <f>IFERROR(VLOOKUP(P$4,NICU!$BL$5:$BT$18,9,FALSE),"")</f>
        <v>80.428571428571431</v>
      </c>
      <c r="Q215" s="95" t="str">
        <f>IFERROR(VLOOKUP(Q$4,NICU!$BL$5:$BS$19,5,FALSE),"")</f>
        <v/>
      </c>
      <c r="Z215" s="171"/>
      <c r="AA215" s="171"/>
      <c r="AB215" s="171"/>
      <c r="AC215" s="171"/>
    </row>
    <row r="216" spans="2:29" x14ac:dyDescent="0.35">
      <c r="B216" s="168"/>
      <c r="C216" s="1" t="s">
        <v>217</v>
      </c>
      <c r="D216" s="155">
        <f>IFERROR(VLOOKUP(D$4,NICU!$BL$5:$BT$18,6,FALSE),"")</f>
        <v>89.142857142857139</v>
      </c>
      <c r="E216" s="155">
        <f>IFERROR(VLOOKUP(E$4,NICU!$BL$5:$BT$18,6,FALSE),"")</f>
        <v>77.714285714285708</v>
      </c>
      <c r="F216" s="155">
        <f>IFERROR(VLOOKUP(F$4,NICU!$BL$5:$BT$18,6,FALSE),"")</f>
        <v>77.714285714285708</v>
      </c>
      <c r="G216" s="155">
        <f>IFERROR(VLOOKUP(G$4,NICU!$BL$5:$BT$18,6,FALSE),"")</f>
        <v>91.285714285714292</v>
      </c>
      <c r="H216" s="155">
        <f>IFERROR(VLOOKUP(H$4,NICU!$BL$5:$BT$18,6,FALSE),"")</f>
        <v>90.714285714285708</v>
      </c>
      <c r="I216" s="155">
        <f>IFERROR(VLOOKUP(I$4,NICU!$BL$5:$BT$18,6,FALSE),"")</f>
        <v>68.285714285714292</v>
      </c>
      <c r="J216" s="155">
        <f>IFERROR(VLOOKUP(J$4,NICU!$BL$5:$BT$18,6,FALSE),"")</f>
        <v>70.857142857142861</v>
      </c>
      <c r="K216" s="155">
        <f>IFERROR(VLOOKUP(K$4,NICU!$BL$5:$BT$18,6,FALSE),"")</f>
        <v>70.285714285714292</v>
      </c>
      <c r="L216" s="155">
        <f>IFERROR(VLOOKUP(L$4,NICU!$BL$5:$BT$18,6,FALSE),"")</f>
        <v>63.142857142857146</v>
      </c>
      <c r="M216" s="155">
        <f>IFERROR(VLOOKUP(M$4,NICU!$BL$5:$BT$18,6,FALSE),"")</f>
        <v>82</v>
      </c>
      <c r="N216" s="155">
        <f>IFERROR(VLOOKUP(N$4,NICU!$BL$5:$BT$18,6,FALSE),"")</f>
        <v>90.857142857142861</v>
      </c>
      <c r="O216" s="155">
        <f>IFERROR(VLOOKUP(O$4,NICU!$BL$5:$BT$18,6,FALSE),"")</f>
        <v>84.857142857142861</v>
      </c>
      <c r="P216" s="155">
        <f>IFERROR(VLOOKUP(P$4,NICU!$BL$5:$BT$18,6,FALSE),"")</f>
        <v>81</v>
      </c>
      <c r="Q216" s="95" t="str">
        <f>IFERROR(VLOOKUP(Q$4,NICU!$BL$5:$BS$19,6,FALSE),"")</f>
        <v/>
      </c>
      <c r="Z216" s="49"/>
      <c r="AA216" s="49"/>
      <c r="AB216" s="49"/>
      <c r="AC216" s="49"/>
    </row>
    <row r="217" spans="2:29" x14ac:dyDescent="0.35">
      <c r="B217" s="168"/>
      <c r="C217" s="11" t="s">
        <v>222</v>
      </c>
      <c r="D217" s="155">
        <f>IFERROR(VLOOKUP(D$4,NICU!$BL$5:$BT$18,7,FALSE),"")</f>
        <v>41.571428571428569</v>
      </c>
      <c r="E217" s="155">
        <f>IFERROR(VLOOKUP(E$4,NICU!$BL$5:$BT$18,7,FALSE),"")</f>
        <v>38</v>
      </c>
      <c r="F217" s="155">
        <f>IFERROR(VLOOKUP(F$4,NICU!$BL$5:$BT$18,7,FALSE),"")</f>
        <v>30.285714285714285</v>
      </c>
      <c r="G217" s="155">
        <f>IFERROR(VLOOKUP(G$4,NICU!$BL$5:$BT$18,7,FALSE),"")</f>
        <v>35.142857142857146</v>
      </c>
      <c r="H217" s="155">
        <f>IFERROR(VLOOKUP(H$4,NICU!$BL$5:$BT$18,7,FALSE),"")</f>
        <v>42.714285714285715</v>
      </c>
      <c r="I217" s="155">
        <f>IFERROR(VLOOKUP(I$4,NICU!$BL$5:$BT$18,7,FALSE),"")</f>
        <v>40.857142857142854</v>
      </c>
      <c r="J217" s="155">
        <f>IFERROR(VLOOKUP(J$4,NICU!$BL$5:$BT$18,7,FALSE),"")</f>
        <v>42.142857142857146</v>
      </c>
      <c r="K217" s="155">
        <f>IFERROR(VLOOKUP(K$4,NICU!$BL$5:$BT$18,7,FALSE),"")</f>
        <v>38.571428571428569</v>
      </c>
      <c r="L217" s="155">
        <f>IFERROR(VLOOKUP(L$4,NICU!$BL$5:$BT$18,7,FALSE),"")</f>
        <v>34.571428571428569</v>
      </c>
      <c r="M217" s="155">
        <f>IFERROR(VLOOKUP(M$4,NICU!$BL$5:$BT$18,7,FALSE),"")</f>
        <v>46.285714285714285</v>
      </c>
      <c r="N217" s="155">
        <f>IFERROR(VLOOKUP(N$4,NICU!$BL$5:$BT$18,7,FALSE),"")</f>
        <v>48.857142857142854</v>
      </c>
      <c r="O217" s="155">
        <f>IFERROR(VLOOKUP(O$4,NICU!$BL$5:$BT$18,7,FALSE),"")</f>
        <v>48</v>
      </c>
      <c r="P217" s="155">
        <f>IFERROR(VLOOKUP(P$4,NICU!$BL$5:$BT$18,7,FALSE),"")</f>
        <v>46.142857142857146</v>
      </c>
      <c r="Q217" s="95" t="str">
        <f>IFERROR(VLOOKUP(Q$4,NICU!$BL$5:$BS$19,7,FALSE),"")</f>
        <v/>
      </c>
      <c r="Z217" s="49"/>
      <c r="AA217" s="49"/>
      <c r="AB217" s="49"/>
      <c r="AC217" s="49"/>
    </row>
    <row r="218" spans="2:29" ht="30" customHeight="1" x14ac:dyDescent="0.35">
      <c r="C218" s="1"/>
    </row>
    <row r="219" spans="2:29" ht="15" customHeight="1" x14ac:dyDescent="0.35">
      <c r="B219" s="168" t="s">
        <v>23</v>
      </c>
      <c r="C219" s="39" t="s">
        <v>19</v>
      </c>
      <c r="D219" s="119">
        <v>100129</v>
      </c>
      <c r="E219" s="119">
        <v>99958</v>
      </c>
      <c r="F219" s="119">
        <v>100884</v>
      </c>
      <c r="G219" s="119">
        <v>98558</v>
      </c>
      <c r="H219" s="119">
        <v>100569</v>
      </c>
      <c r="I219" s="119">
        <v>95738</v>
      </c>
      <c r="J219" s="119">
        <v>94512</v>
      </c>
      <c r="K219" s="119">
        <v>93701</v>
      </c>
      <c r="L219" s="119">
        <v>96519</v>
      </c>
      <c r="M219" s="119">
        <v>93938</v>
      </c>
      <c r="N219" s="119">
        <v>94510</v>
      </c>
      <c r="O219" s="119">
        <v>94740</v>
      </c>
      <c r="P219" s="119">
        <v>93874</v>
      </c>
      <c r="Z219" s="169" t="s">
        <v>34</v>
      </c>
      <c r="AA219" s="169"/>
      <c r="AB219" s="169"/>
      <c r="AC219" s="169"/>
    </row>
    <row r="220" spans="2:29" ht="15" customHeight="1" x14ac:dyDescent="0.35">
      <c r="B220" s="168"/>
      <c r="C220" s="1" t="s">
        <v>283</v>
      </c>
      <c r="D220" s="14">
        <v>90215</v>
      </c>
      <c r="E220" s="14">
        <v>90368</v>
      </c>
      <c r="F220" s="14">
        <v>89023</v>
      </c>
      <c r="G220" s="14">
        <v>86465</v>
      </c>
      <c r="H220" s="14">
        <v>91303</v>
      </c>
      <c r="I220" s="14">
        <v>86056</v>
      </c>
      <c r="J220" s="14">
        <v>86050</v>
      </c>
      <c r="K220" s="14">
        <v>88787</v>
      </c>
      <c r="L220" s="14">
        <v>88595</v>
      </c>
      <c r="M220" s="14">
        <v>87081</v>
      </c>
      <c r="N220" s="14">
        <v>85028</v>
      </c>
      <c r="O220" s="14">
        <v>90467</v>
      </c>
      <c r="P220" s="14">
        <v>88075</v>
      </c>
      <c r="Z220" s="169"/>
      <c r="AA220" s="169"/>
      <c r="AB220" s="169"/>
      <c r="AC220" s="169"/>
    </row>
    <row r="221" spans="2:29" ht="7.5" customHeight="1" x14ac:dyDescent="0.35">
      <c r="B221" s="168"/>
      <c r="Z221" s="169"/>
      <c r="AA221" s="169"/>
      <c r="AB221" s="169"/>
      <c r="AC221" s="169"/>
    </row>
    <row r="222" spans="2:29" x14ac:dyDescent="0.35">
      <c r="B222" s="168"/>
      <c r="C222" s="16" t="s">
        <v>295</v>
      </c>
      <c r="D222" s="65">
        <f>IFERROR(VLOOKUP(D$4, Ambulance!$M$3:$U$16,2,FALSE),"")</f>
        <v>83893</v>
      </c>
      <c r="E222" s="65">
        <f>IFERROR(VLOOKUP(E$4, Ambulance!$M$3:$U$16,2,FALSE),"")</f>
        <v>83950</v>
      </c>
      <c r="F222" s="65">
        <f>IFERROR(VLOOKUP(F$4, Ambulance!$M$3:$U$16,2,FALSE),"")</f>
        <v>83545</v>
      </c>
      <c r="G222" s="65">
        <f>IFERROR(VLOOKUP(G$4, Ambulance!$M$3:$U$16,2,FALSE),"")</f>
        <v>83001</v>
      </c>
      <c r="H222" s="65">
        <f>IFERROR(VLOOKUP(H$4, Ambulance!$M$3:$U$16,2,FALSE),"")</f>
        <v>83640</v>
      </c>
      <c r="I222" s="65">
        <f>IFERROR(VLOOKUP(I$4, Ambulance!$M$3:$U$16,2,FALSE),"")</f>
        <v>81129</v>
      </c>
      <c r="J222" s="65">
        <f>IFERROR(VLOOKUP(J$4, Ambulance!$M$3:$U$16,2,FALSE),"")</f>
        <v>83486</v>
      </c>
      <c r="K222" s="65">
        <f>IFERROR(VLOOKUP(K$4, Ambulance!$M$3:$U$16,2,FALSE),"")</f>
        <v>85455</v>
      </c>
      <c r="L222" s="65">
        <f>IFERROR(VLOOKUP(L$4, Ambulance!$M$3:$U$16,2,FALSE),"")</f>
        <v>85992</v>
      </c>
      <c r="M222" s="65">
        <f>IFERROR(VLOOKUP(M$4, Ambulance!$M$3:$U$16,2,FALSE),"")</f>
        <v>85034</v>
      </c>
      <c r="N222" s="65">
        <f>IFERROR(VLOOKUP(N$4, Ambulance!$M$3:$U$16,2,FALSE),"")</f>
        <v>85502</v>
      </c>
      <c r="O222" s="65">
        <f>IFERROR(VLOOKUP(O$4, Ambulance!$M$3:$U$16,2,FALSE),"")</f>
        <v>84574</v>
      </c>
      <c r="P222" s="65">
        <f>IFERROR(VLOOKUP(P$4, Ambulance!$M$3:$U$16,2,FALSE),"")</f>
        <v>84964</v>
      </c>
      <c r="Q222" s="96"/>
      <c r="Z222" s="169"/>
      <c r="AA222" s="169"/>
      <c r="AB222" s="169"/>
      <c r="AC222" s="169"/>
    </row>
    <row r="223" spans="2:29" x14ac:dyDescent="0.35">
      <c r="B223" s="168"/>
      <c r="C223" s="1" t="s">
        <v>1</v>
      </c>
      <c r="D223" s="157">
        <f>IFERROR(VLOOKUP(D$4, Ambulance!$M$3:$U$16,3,FALSE),"")</f>
        <v>12825</v>
      </c>
      <c r="E223" s="157">
        <f>IFERROR(VLOOKUP(E$4, Ambulance!$M$3:$U$16,3,FALSE),"")</f>
        <v>12913</v>
      </c>
      <c r="F223" s="157">
        <f>IFERROR(VLOOKUP(F$4, Ambulance!$M$3:$U$16,3,FALSE),"")</f>
        <v>12787</v>
      </c>
      <c r="G223" s="157">
        <f>IFERROR(VLOOKUP(G$4, Ambulance!$M$3:$U$16,3,FALSE),"")</f>
        <v>12416</v>
      </c>
      <c r="H223" s="157">
        <f>IFERROR(VLOOKUP(H$4, Ambulance!$M$3:$U$16,3,FALSE),"")</f>
        <v>13272</v>
      </c>
      <c r="I223" s="157">
        <f>IFERROR(VLOOKUP(I$4, Ambulance!$M$3:$U$16,3,FALSE),"")</f>
        <v>12553</v>
      </c>
      <c r="J223" s="157">
        <f>IFERROR(VLOOKUP(J$4, Ambulance!$M$3:$U$16,3,FALSE),"")</f>
        <v>12945</v>
      </c>
      <c r="K223" s="157">
        <f>IFERROR(VLOOKUP(K$4, Ambulance!$M$3:$U$16,3,FALSE),"")</f>
        <v>13509</v>
      </c>
      <c r="L223" s="157">
        <f>IFERROR(VLOOKUP(L$4, Ambulance!$M$3:$U$16,3,FALSE),"")</f>
        <v>13825</v>
      </c>
      <c r="M223" s="157">
        <f>IFERROR(VLOOKUP(M$4, Ambulance!$M$3:$U$16,3,FALSE),"")</f>
        <v>13516</v>
      </c>
      <c r="N223" s="157">
        <f>IFERROR(VLOOKUP(N$4, Ambulance!$M$3:$U$16,3,FALSE),"")</f>
        <v>13362</v>
      </c>
      <c r="O223" s="157">
        <f>IFERROR(VLOOKUP(O$4, Ambulance!$M$3:$U$16,3,FALSE),"")</f>
        <v>12948</v>
      </c>
      <c r="P223" s="157">
        <f>IFERROR(VLOOKUP(P$4, Ambulance!$M$3:$U$16,3,FALSE),"")</f>
        <v>13523</v>
      </c>
      <c r="Q223" s="70" t="str">
        <f>IFERROR(VLOOKUP(Q$4, Ambulance!$M$3:$T$17,3,FALSE),"")</f>
        <v/>
      </c>
      <c r="Z223" s="169"/>
      <c r="AA223" s="169"/>
      <c r="AB223" s="169"/>
      <c r="AC223" s="169"/>
    </row>
    <row r="224" spans="2:29" x14ac:dyDescent="0.35">
      <c r="B224" s="168"/>
      <c r="C224" s="1" t="s">
        <v>220</v>
      </c>
      <c r="D224" s="157">
        <f>IFERROR(VLOOKUP(D$4, Ambulance!$M$3:$U$16,4,FALSE),"")</f>
        <v>16976</v>
      </c>
      <c r="E224" s="157">
        <f>IFERROR(VLOOKUP(E$4, Ambulance!$M$3:$U$16,4,FALSE),"")</f>
        <v>16513</v>
      </c>
      <c r="F224" s="157">
        <f>IFERROR(VLOOKUP(F$4, Ambulance!$M$3:$U$16,4,FALSE),"")</f>
        <v>16726</v>
      </c>
      <c r="G224" s="157">
        <f>IFERROR(VLOOKUP(G$4, Ambulance!$M$3:$U$16,4,FALSE),"")</f>
        <v>16543</v>
      </c>
      <c r="H224" s="157">
        <f>IFERROR(VLOOKUP(H$4, Ambulance!$M$3:$U$16,4,FALSE),"")</f>
        <v>16594</v>
      </c>
      <c r="I224" s="157">
        <f>IFERROR(VLOOKUP(I$4, Ambulance!$M$3:$U$16,4,FALSE),"")</f>
        <v>15884</v>
      </c>
      <c r="J224" s="157">
        <f>IFERROR(VLOOKUP(J$4, Ambulance!$M$3:$U$16,4,FALSE),"")</f>
        <v>16621</v>
      </c>
      <c r="K224" s="157">
        <f>IFERROR(VLOOKUP(K$4, Ambulance!$M$3:$U$16,4,FALSE),"")</f>
        <v>16769</v>
      </c>
      <c r="L224" s="157">
        <f>IFERROR(VLOOKUP(L$4, Ambulance!$M$3:$U$16,4,FALSE),"")</f>
        <v>16773</v>
      </c>
      <c r="M224" s="157">
        <f>IFERROR(VLOOKUP(M$4, Ambulance!$M$3:$U$16,4,FALSE),"")</f>
        <v>16828</v>
      </c>
      <c r="N224" s="157">
        <f>IFERROR(VLOOKUP(N$4, Ambulance!$M$3:$U$16,4,FALSE),"")</f>
        <v>17098</v>
      </c>
      <c r="O224" s="157">
        <f>IFERROR(VLOOKUP(O$4, Ambulance!$M$3:$U$16,4,FALSE),"")</f>
        <v>16907</v>
      </c>
      <c r="P224" s="157">
        <f>IFERROR(VLOOKUP(P$4, Ambulance!$M$3:$U$16,4,FALSE),"")</f>
        <v>16814</v>
      </c>
      <c r="Q224" s="70" t="str">
        <f>IFERROR(VLOOKUP(Q$4, Ambulance!$M$3:$T$17,4,FALSE),"")</f>
        <v/>
      </c>
      <c r="Z224" s="169"/>
      <c r="AA224" s="169"/>
      <c r="AB224" s="169"/>
      <c r="AC224" s="169"/>
    </row>
    <row r="225" spans="2:29" x14ac:dyDescent="0.35">
      <c r="B225" s="168"/>
      <c r="C225" s="1" t="s">
        <v>248</v>
      </c>
      <c r="D225" s="157">
        <f>IFERROR(VLOOKUP(D$4, Ambulance!$M$3:$U$16,8,FALSE),"")</f>
        <v>8716</v>
      </c>
      <c r="E225" s="157">
        <f>IFERROR(VLOOKUP(E$4, Ambulance!$M$3:$U$16,8,FALSE),"")</f>
        <v>9068</v>
      </c>
      <c r="F225" s="157">
        <f>IFERROR(VLOOKUP(F$4, Ambulance!$M$3:$U$16,8,FALSE),"")</f>
        <v>9085</v>
      </c>
      <c r="G225" s="157">
        <f>IFERROR(VLOOKUP(G$4, Ambulance!$M$3:$U$16,8,FALSE),"")</f>
        <v>9208</v>
      </c>
      <c r="H225" s="157">
        <f>IFERROR(VLOOKUP(H$4, Ambulance!$M$3:$U$16,8,FALSE),"")</f>
        <v>8888</v>
      </c>
      <c r="I225" s="157">
        <f>IFERROR(VLOOKUP(I$4, Ambulance!$M$3:$U$16,8,FALSE),"")</f>
        <v>9201</v>
      </c>
      <c r="J225" s="157">
        <f>IFERROR(VLOOKUP(J$4, Ambulance!$M$3:$U$16,8,FALSE),"")</f>
        <v>9078</v>
      </c>
      <c r="K225" s="157">
        <f>IFERROR(VLOOKUP(K$4, Ambulance!$M$3:$U$16,8,FALSE),"")</f>
        <v>9158</v>
      </c>
      <c r="L225" s="157">
        <f>IFERROR(VLOOKUP(L$4, Ambulance!$M$3:$U$16,8,FALSE),"")</f>
        <v>8945</v>
      </c>
      <c r="M225" s="157">
        <f>IFERROR(VLOOKUP(M$4, Ambulance!$M$3:$U$16,8,FALSE),"")</f>
        <v>8890</v>
      </c>
      <c r="N225" s="157">
        <f>IFERROR(VLOOKUP(N$4, Ambulance!$M$3:$U$16,8,FALSE),"")</f>
        <v>8915</v>
      </c>
      <c r="O225" s="157">
        <f>IFERROR(VLOOKUP(O$4, Ambulance!$M$3:$U$16,8,FALSE),"")</f>
        <v>8785</v>
      </c>
      <c r="P225" s="157">
        <f>IFERROR(VLOOKUP(P$4, Ambulance!$M$3:$U$16,8,FALSE),"")</f>
        <v>8973</v>
      </c>
      <c r="Q225" s="70"/>
      <c r="Z225" s="106"/>
      <c r="AA225" s="106"/>
      <c r="AB225" s="106"/>
      <c r="AC225" s="106"/>
    </row>
    <row r="226" spans="2:29" x14ac:dyDescent="0.35">
      <c r="B226" s="168"/>
      <c r="C226" s="1" t="s">
        <v>249</v>
      </c>
      <c r="D226" s="157">
        <f>IFERROR(VLOOKUP(D$4, Ambulance!$M$3:$U$16,5,FALSE),"")</f>
        <v>13770</v>
      </c>
      <c r="E226" s="157">
        <f>IFERROR(VLOOKUP(E$4, Ambulance!$M$3:$U$16,5,FALSE),"")</f>
        <v>14147</v>
      </c>
      <c r="F226" s="157">
        <f>IFERROR(VLOOKUP(F$4, Ambulance!$M$3:$U$16,5,FALSE),"")</f>
        <v>13849</v>
      </c>
      <c r="G226" s="157">
        <f>IFERROR(VLOOKUP(G$4, Ambulance!$M$3:$U$16,5,FALSE),"")</f>
        <v>13533</v>
      </c>
      <c r="H226" s="157">
        <f>IFERROR(VLOOKUP(H$4, Ambulance!$M$3:$U$16,5,FALSE),"")</f>
        <v>13551</v>
      </c>
      <c r="I226" s="157">
        <f>IFERROR(VLOOKUP(I$4, Ambulance!$M$3:$U$16,5,FALSE),"")</f>
        <v>12860</v>
      </c>
      <c r="J226" s="157">
        <f>IFERROR(VLOOKUP(J$4, Ambulance!$M$3:$U$16,5,FALSE),"")</f>
        <v>13662</v>
      </c>
      <c r="K226" s="157">
        <f>IFERROR(VLOOKUP(K$4, Ambulance!$M$3:$U$16,5,FALSE),"")</f>
        <v>13845</v>
      </c>
      <c r="L226" s="157">
        <f>IFERROR(VLOOKUP(L$4, Ambulance!$M$3:$U$16,5,FALSE),"")</f>
        <v>14303</v>
      </c>
      <c r="M226" s="157">
        <f>IFERROR(VLOOKUP(M$4, Ambulance!$M$3:$U$16,5,FALSE),"")</f>
        <v>14185</v>
      </c>
      <c r="N226" s="157">
        <f>IFERROR(VLOOKUP(N$4, Ambulance!$M$3:$U$16,5,FALSE),"")</f>
        <v>14312</v>
      </c>
      <c r="O226" s="157">
        <f>IFERROR(VLOOKUP(O$4, Ambulance!$M$3:$U$16,5,FALSE),"")</f>
        <v>14189</v>
      </c>
      <c r="P226" s="157">
        <f>IFERROR(VLOOKUP(P$4, Ambulance!$M$3:$U$16,5,FALSE),"")</f>
        <v>14078</v>
      </c>
      <c r="Q226" s="70"/>
      <c r="Z226" s="106"/>
      <c r="AA226" s="106"/>
      <c r="AB226" s="106"/>
      <c r="AC226" s="106"/>
    </row>
    <row r="227" spans="2:29" x14ac:dyDescent="0.35">
      <c r="B227" s="168"/>
      <c r="C227" s="1" t="s">
        <v>251</v>
      </c>
      <c r="D227" s="157">
        <f>IFERROR(VLOOKUP(D$4, Ambulance!$M$3:$U$16,9,FALSE),"")</f>
        <v>10806</v>
      </c>
      <c r="E227" s="157">
        <f>IFERROR(VLOOKUP(E$4, Ambulance!$M$3:$U$16,9,FALSE),"")</f>
        <v>10240</v>
      </c>
      <c r="F227" s="157">
        <f>IFERROR(VLOOKUP(F$4, Ambulance!$M$3:$U$16,9,FALSE),"")</f>
        <v>10446</v>
      </c>
      <c r="G227" s="157">
        <f>IFERROR(VLOOKUP(G$4, Ambulance!$M$3:$U$16,9,FALSE),"")</f>
        <v>10232</v>
      </c>
      <c r="H227" s="157">
        <f>IFERROR(VLOOKUP(H$4, Ambulance!$M$3:$U$16,9,FALSE),"")</f>
        <v>9421</v>
      </c>
      <c r="I227" s="157">
        <f>IFERROR(VLOOKUP(I$4, Ambulance!$M$3:$U$16,9,FALSE),"")</f>
        <v>9909</v>
      </c>
      <c r="J227" s="157">
        <f>IFERROR(VLOOKUP(J$4, Ambulance!$M$3:$U$16,9,FALSE),"")</f>
        <v>10668</v>
      </c>
      <c r="K227" s="157">
        <f>IFERROR(VLOOKUP(K$4, Ambulance!$M$3:$U$16,9,FALSE),"")</f>
        <v>10852</v>
      </c>
      <c r="L227" s="157">
        <f>IFERROR(VLOOKUP(L$4, Ambulance!$M$3:$U$16,9,FALSE),"")</f>
        <v>11124</v>
      </c>
      <c r="M227" s="157">
        <f>IFERROR(VLOOKUP(M$4, Ambulance!$M$3:$U$16,9,FALSE),"")</f>
        <v>11215</v>
      </c>
      <c r="N227" s="157">
        <f>IFERROR(VLOOKUP(N$4, Ambulance!$M$3:$U$16,9,FALSE),"")</f>
        <v>11166</v>
      </c>
      <c r="O227" s="157">
        <f>IFERROR(VLOOKUP(O$4, Ambulance!$M$3:$U$16,9,FALSE),"")</f>
        <v>11286</v>
      </c>
      <c r="P227" s="157">
        <f>IFERROR(VLOOKUP(P$4, Ambulance!$M$3:$U$16,9,FALSE),"")</f>
        <v>11284</v>
      </c>
      <c r="Q227" s="70" t="str">
        <f>IFERROR(VLOOKUP(Q$4, Ambulance!$M$3:$T$17,5,FALSE),"")</f>
        <v/>
      </c>
      <c r="Z227" s="171" t="s">
        <v>226</v>
      </c>
      <c r="AA227" s="171"/>
      <c r="AB227" s="171"/>
      <c r="AC227" s="171"/>
    </row>
    <row r="228" spans="2:29" ht="17.25" customHeight="1" x14ac:dyDescent="0.35">
      <c r="B228" s="168"/>
      <c r="C228" s="1" t="s">
        <v>217</v>
      </c>
      <c r="D228" s="157">
        <f>IFERROR(VLOOKUP(D$4, Ambulance!$M$3:$U$16,6,FALSE),"")</f>
        <v>13367</v>
      </c>
      <c r="E228" s="157">
        <f>IFERROR(VLOOKUP(E$4, Ambulance!$M$3:$U$16,6,FALSE),"")</f>
        <v>13274</v>
      </c>
      <c r="F228" s="157">
        <f>IFERROR(VLOOKUP(F$4, Ambulance!$M$3:$U$16,6,FALSE),"")</f>
        <v>12865</v>
      </c>
      <c r="G228" s="157">
        <f>IFERROR(VLOOKUP(G$4, Ambulance!$M$3:$U$16,6,FALSE),"")</f>
        <v>12927</v>
      </c>
      <c r="H228" s="157">
        <f>IFERROR(VLOOKUP(H$4, Ambulance!$M$3:$U$16,6,FALSE),"")</f>
        <v>14033</v>
      </c>
      <c r="I228" s="157">
        <f>IFERROR(VLOOKUP(I$4, Ambulance!$M$3:$U$16,6,FALSE),"")</f>
        <v>12980</v>
      </c>
      <c r="J228" s="157">
        <f>IFERROR(VLOOKUP(J$4, Ambulance!$M$3:$U$16,6,FALSE),"")</f>
        <v>12816</v>
      </c>
      <c r="K228" s="157">
        <f>IFERROR(VLOOKUP(K$4, Ambulance!$M$3:$U$16,6,FALSE),"")</f>
        <v>13340</v>
      </c>
      <c r="L228" s="157">
        <f>IFERROR(VLOOKUP(L$4, Ambulance!$M$3:$U$16,6,FALSE),"")</f>
        <v>13432</v>
      </c>
      <c r="M228" s="157">
        <f>IFERROR(VLOOKUP(M$4, Ambulance!$M$3:$U$16,6,FALSE),"")</f>
        <v>13143</v>
      </c>
      <c r="N228" s="157">
        <f>IFERROR(VLOOKUP(N$4, Ambulance!$M$3:$U$16,6,FALSE),"")</f>
        <v>13168</v>
      </c>
      <c r="O228" s="157">
        <f>IFERROR(VLOOKUP(O$4, Ambulance!$M$3:$U$16,6,FALSE),"")</f>
        <v>13267</v>
      </c>
      <c r="P228" s="157">
        <f>IFERROR(VLOOKUP(P$4, Ambulance!$M$3:$U$16,6,FALSE),"")</f>
        <v>13044</v>
      </c>
      <c r="Q228" s="70" t="str">
        <f>IFERROR(VLOOKUP(Q$4, Ambulance!$M$3:$T$17,6,FALSE),"")</f>
        <v/>
      </c>
      <c r="Z228" s="171"/>
      <c r="AA228" s="171"/>
      <c r="AB228" s="171"/>
      <c r="AC228" s="171"/>
    </row>
    <row r="229" spans="2:29" ht="17.25" customHeight="1" x14ac:dyDescent="0.35">
      <c r="B229" s="168"/>
      <c r="C229" s="11" t="s">
        <v>222</v>
      </c>
      <c r="D229" s="157">
        <f>IFERROR(VLOOKUP(D$4, Ambulance!$M$3:$U$16,7,FALSE),"")</f>
        <v>7433</v>
      </c>
      <c r="E229" s="157">
        <f>IFERROR(VLOOKUP(E$4, Ambulance!$M$3:$U$16,7,FALSE),"")</f>
        <v>7795</v>
      </c>
      <c r="F229" s="157">
        <f>IFERROR(VLOOKUP(F$4, Ambulance!$M$3:$U$16,7,FALSE),"")</f>
        <v>7787</v>
      </c>
      <c r="G229" s="157">
        <f>IFERROR(VLOOKUP(G$4, Ambulance!$M$3:$U$16,7,FALSE),"")</f>
        <v>8142</v>
      </c>
      <c r="H229" s="157">
        <f>IFERROR(VLOOKUP(H$4, Ambulance!$M$3:$U$16,7,FALSE),"")</f>
        <v>7881</v>
      </c>
      <c r="I229" s="157">
        <f>IFERROR(VLOOKUP(I$4, Ambulance!$M$3:$U$16,7,FALSE),"")</f>
        <v>7742</v>
      </c>
      <c r="J229" s="157">
        <f>IFERROR(VLOOKUP(J$4, Ambulance!$M$3:$U$16,7,FALSE),"")</f>
        <v>7696</v>
      </c>
      <c r="K229" s="157">
        <f>IFERROR(VLOOKUP(K$4, Ambulance!$M$3:$U$16,7,FALSE),"")</f>
        <v>7982</v>
      </c>
      <c r="L229" s="157">
        <f>IFERROR(VLOOKUP(L$4, Ambulance!$M$3:$U$16,7,FALSE),"")</f>
        <v>7590</v>
      </c>
      <c r="M229" s="157">
        <f>IFERROR(VLOOKUP(M$4, Ambulance!$M$3:$U$16,7,FALSE),"")</f>
        <v>7257</v>
      </c>
      <c r="N229" s="157">
        <f>IFERROR(VLOOKUP(N$4, Ambulance!$M$3:$U$16,7,FALSE),"")</f>
        <v>7481</v>
      </c>
      <c r="O229" s="157">
        <f>IFERROR(VLOOKUP(O$4, Ambulance!$M$3:$U$16,7,FALSE),"")</f>
        <v>7192</v>
      </c>
      <c r="P229" s="157">
        <f>IFERROR(VLOOKUP(P$4, Ambulance!$M$3:$U$16,7,FALSE),"")</f>
        <v>7248</v>
      </c>
      <c r="Q229" s="70" t="str">
        <f>IFERROR(VLOOKUP(Q$4, Ambulance!$M$3:$T$17,7,FALSE),"")</f>
        <v/>
      </c>
      <c r="Z229" s="171"/>
      <c r="AA229" s="171"/>
      <c r="AB229" s="171"/>
      <c r="AC229" s="171"/>
    </row>
    <row r="230" spans="2:29" s="42" customFormat="1" ht="9" customHeight="1" x14ac:dyDescent="0.35">
      <c r="B230" s="168"/>
      <c r="C230" s="11"/>
      <c r="D230" s="70"/>
      <c r="E230" s="70"/>
      <c r="F230" s="70"/>
      <c r="G230" s="70"/>
      <c r="H230" s="70"/>
      <c r="I230" s="70"/>
      <c r="J230" s="70"/>
      <c r="K230" s="70"/>
      <c r="L230" s="70"/>
      <c r="M230" s="70"/>
      <c r="N230" s="70"/>
      <c r="O230" s="70"/>
      <c r="P230" s="70"/>
      <c r="Q230" s="70"/>
      <c r="Z230" s="171"/>
      <c r="AA230" s="171"/>
      <c r="AB230" s="171"/>
      <c r="AC230" s="171"/>
    </row>
    <row r="231" spans="2:29" x14ac:dyDescent="0.35">
      <c r="B231" s="168"/>
      <c r="C231" s="39" t="s">
        <v>20</v>
      </c>
      <c r="D231" s="118">
        <v>0.14580191552896762</v>
      </c>
      <c r="E231" s="118">
        <v>0.16260829548410333</v>
      </c>
      <c r="F231" s="118">
        <v>0.17464612822647793</v>
      </c>
      <c r="G231" s="118">
        <v>0.14498062054830657</v>
      </c>
      <c r="H231" s="118">
        <v>0.1814773936302439</v>
      </c>
      <c r="I231" s="118">
        <v>0.16348785226346904</v>
      </c>
      <c r="J231" s="118">
        <v>0.13131665820213306</v>
      </c>
      <c r="K231" s="118">
        <v>0.11060714400059765</v>
      </c>
      <c r="L231" s="118">
        <v>0.14339145660439914</v>
      </c>
      <c r="M231" s="118">
        <v>0.12353892993250867</v>
      </c>
      <c r="N231" s="118">
        <v>0.1246746376044863</v>
      </c>
      <c r="O231" s="118">
        <v>0.12125818028287946</v>
      </c>
      <c r="P231" s="118">
        <v>0.12861921298762172</v>
      </c>
      <c r="Z231" s="171"/>
      <c r="AA231" s="171"/>
      <c r="AB231" s="171"/>
      <c r="AC231" s="171"/>
    </row>
    <row r="232" spans="2:29" x14ac:dyDescent="0.35">
      <c r="B232" s="168"/>
      <c r="C232" s="1" t="s">
        <v>283</v>
      </c>
      <c r="D232" s="7">
        <v>0.11035858781799035</v>
      </c>
      <c r="E232" s="7">
        <v>0.1453943873937677</v>
      </c>
      <c r="F232" s="7">
        <v>0.14659133033036406</v>
      </c>
      <c r="G232" s="7">
        <v>0.10736136008789683</v>
      </c>
      <c r="H232" s="7">
        <v>0.159622356330022</v>
      </c>
      <c r="I232" s="7">
        <v>0.17174862879985126</v>
      </c>
      <c r="J232" s="7">
        <v>0.12635676932016271</v>
      </c>
      <c r="K232" s="7">
        <v>0.13006408595852997</v>
      </c>
      <c r="L232" s="7">
        <v>0.10975788701393983</v>
      </c>
      <c r="M232" s="7">
        <v>8.7722924633387309E-2</v>
      </c>
      <c r="N232" s="7">
        <v>7.0811967822364402E-2</v>
      </c>
      <c r="O232" s="7">
        <v>9.4951750362010451E-2</v>
      </c>
      <c r="P232" s="7">
        <v>8.2179960261141077E-2</v>
      </c>
      <c r="Z232" s="171"/>
      <c r="AA232" s="171"/>
      <c r="AB232" s="171"/>
      <c r="AC232" s="171"/>
    </row>
    <row r="233" spans="2:29" ht="7.5" customHeight="1" x14ac:dyDescent="0.35">
      <c r="B233" s="168"/>
      <c r="Z233" s="171"/>
      <c r="AA233" s="171"/>
      <c r="AB233" s="171"/>
      <c r="AC233" s="171"/>
    </row>
    <row r="234" spans="2:29" x14ac:dyDescent="0.35">
      <c r="B234" s="168"/>
      <c r="C234" s="16" t="s">
        <v>295</v>
      </c>
      <c r="D234" s="67">
        <f>IFERROR(VLOOKUP(D$4,Ambulance!$AY$5:$BG$18,2,FALSE),"")</f>
        <v>0.23084166736199682</v>
      </c>
      <c r="E234" s="67">
        <f>IFERROR(VLOOKUP(E$4,Ambulance!$AY$5:$BG$18,2,FALSE),"")</f>
        <v>0.23231685527099463</v>
      </c>
      <c r="F234" s="67">
        <f>IFERROR(VLOOKUP(F$4,Ambulance!$AY$5:$BG$18,2,FALSE),"")</f>
        <v>0.19642109043030703</v>
      </c>
      <c r="G234" s="67">
        <f>IFERROR(VLOOKUP(G$4,Ambulance!$AY$5:$BG$18,2,FALSE),"")</f>
        <v>0.13358875194274769</v>
      </c>
      <c r="H234" s="67">
        <f>IFERROR(VLOOKUP(H$4,Ambulance!$AY$5:$BG$18,2,FALSE),"")</f>
        <v>0.22834768053562887</v>
      </c>
      <c r="I234" s="67">
        <f>IFERROR(VLOOKUP(I$4,Ambulance!$AY$5:$BG$18,2,FALSE),"")</f>
        <v>0.22565297242662918</v>
      </c>
      <c r="J234" s="67">
        <f>IFERROR(VLOOKUP(J$4,Ambulance!$AY$5:$BG$18,2,FALSE),"")</f>
        <v>0.17920369882375489</v>
      </c>
      <c r="K234" s="67">
        <f>IFERROR(VLOOKUP(K$4,Ambulance!$AY$5:$BG$18,2,FALSE),"")</f>
        <v>0.18461178397987243</v>
      </c>
      <c r="L234" s="67">
        <f>IFERROR(VLOOKUP(L$4,Ambulance!$AY$5:$BG$18,2,FALSE),"")</f>
        <v>0.20104195739138525</v>
      </c>
      <c r="M234" s="67">
        <f>IFERROR(VLOOKUP(M$4,Ambulance!$AY$5:$BG$18,2,FALSE),"")</f>
        <v>0.21394971423195427</v>
      </c>
      <c r="N234" s="67">
        <f>IFERROR(VLOOKUP(N$4,Ambulance!$AY$5:$BG$18,2,FALSE),"")</f>
        <v>0.19956258333138407</v>
      </c>
      <c r="O234" s="67">
        <f>IFERROR(VLOOKUP(O$4,Ambulance!$AY$5:$BG$18,2,FALSE),"")</f>
        <v>0.21020644642561545</v>
      </c>
      <c r="P234" s="67">
        <f>IFERROR(VLOOKUP(P$4,Ambulance!$AY$5:$BG$18,2,FALSE),"")</f>
        <v>0.2177392778117791</v>
      </c>
      <c r="Q234" s="93" t="str">
        <f>IFERROR(VLOOKUP(Q$4,Ambulance!$AY$5:$BF$19,2,FALSE),"")</f>
        <v/>
      </c>
      <c r="S234" s="3"/>
      <c r="T234" s="101"/>
      <c r="Z234" s="171"/>
      <c r="AA234" s="171"/>
      <c r="AB234" s="171"/>
      <c r="AC234" s="171"/>
    </row>
    <row r="235" spans="2:29" x14ac:dyDescent="0.35">
      <c r="B235" s="168"/>
      <c r="C235" s="1" t="s">
        <v>1</v>
      </c>
      <c r="D235" s="156">
        <f>IFERROR(VLOOKUP(D$4,Ambulance!$AY$5:$BG$18,3,FALSE),"")</f>
        <v>0.19539961013645224</v>
      </c>
      <c r="E235" s="156">
        <f>IFERROR(VLOOKUP(E$4,Ambulance!$AY$5:$BG$18,3,FALSE),"")</f>
        <v>0.19182219468752421</v>
      </c>
      <c r="F235" s="156">
        <f>IFERROR(VLOOKUP(F$4,Ambulance!$AY$5:$BG$18,3,FALSE),"")</f>
        <v>0.17760225228747947</v>
      </c>
      <c r="G235" s="156">
        <f>IFERROR(VLOOKUP(G$4,Ambulance!$AY$5:$BG$18,3,FALSE),"")</f>
        <v>0.12822164948453607</v>
      </c>
      <c r="H235" s="156">
        <f>IFERROR(VLOOKUP(H$4,Ambulance!$AY$5:$BG$18,3,FALSE),"")</f>
        <v>0.18301687763713081</v>
      </c>
      <c r="I235" s="156">
        <f>IFERROR(VLOOKUP(I$4,Ambulance!$AY$5:$BG$18,3,FALSE),"")</f>
        <v>0.19851828248227515</v>
      </c>
      <c r="J235" s="156">
        <f>IFERROR(VLOOKUP(J$4,Ambulance!$AY$5:$BG$18,3,FALSE),"")</f>
        <v>0.17002703746620318</v>
      </c>
      <c r="K235" s="156">
        <f>IFERROR(VLOOKUP(K$4,Ambulance!$AY$5:$BG$18,3,FALSE),"")</f>
        <v>0.1453845584425198</v>
      </c>
      <c r="L235" s="156">
        <f>IFERROR(VLOOKUP(L$4,Ambulance!$AY$5:$BG$18,3,FALSE),"")</f>
        <v>0.16773960216998191</v>
      </c>
      <c r="M235" s="156">
        <f>IFERROR(VLOOKUP(M$4,Ambulance!$AY$5:$BG$18,3,FALSE),"")</f>
        <v>0.18503995264871265</v>
      </c>
      <c r="N235" s="156">
        <f>IFERROR(VLOOKUP(N$4,Ambulance!$AY$5:$BG$18,3,FALSE),"")</f>
        <v>0.16464601107618621</v>
      </c>
      <c r="O235" s="156">
        <f>IFERROR(VLOOKUP(O$4,Ambulance!$AY$5:$BG$18,3,FALSE),"")</f>
        <v>0.14056224899598393</v>
      </c>
      <c r="P235" s="156">
        <f>IFERROR(VLOOKUP(P$4,Ambulance!$AY$5:$BG$18,3,FALSE),"")</f>
        <v>0.19204318568365009</v>
      </c>
      <c r="Q235" s="69" t="str">
        <f>IFERROR(VLOOKUP(Q$4,Ambulance!$AY$5:$BF$19,3,FALSE),"")</f>
        <v/>
      </c>
      <c r="Z235" s="171"/>
      <c r="AA235" s="171"/>
      <c r="AB235" s="171"/>
      <c r="AC235" s="171"/>
    </row>
    <row r="236" spans="2:29" x14ac:dyDescent="0.35">
      <c r="B236" s="168"/>
      <c r="C236" s="1" t="s">
        <v>220</v>
      </c>
      <c r="D236" s="156">
        <f>IFERROR(VLOOKUP(D$4,Ambulance!$AY$5:$BG$18,4,FALSE),"")</f>
        <v>0.29441564561734213</v>
      </c>
      <c r="E236" s="156">
        <f>IFERROR(VLOOKUP(E$4,Ambulance!$AY$5:$BG$18,4,FALSE),"")</f>
        <v>0.32192817779930966</v>
      </c>
      <c r="F236" s="156">
        <f>IFERROR(VLOOKUP(F$4,Ambulance!$AY$5:$BG$18,4,FALSE),"")</f>
        <v>0.2621068994380007</v>
      </c>
      <c r="G236" s="156">
        <f>IFERROR(VLOOKUP(G$4,Ambulance!$AY$5:$BG$18,4,FALSE),"")</f>
        <v>0.15897962884603761</v>
      </c>
      <c r="H236" s="156">
        <f>IFERROR(VLOOKUP(H$4,Ambulance!$AY$5:$BG$18,4,FALSE),"")</f>
        <v>0.29962637097746175</v>
      </c>
      <c r="I236" s="156">
        <f>IFERROR(VLOOKUP(I$4,Ambulance!$AY$5:$BG$18,4,FALSE),"")</f>
        <v>0.29060690002518258</v>
      </c>
      <c r="J236" s="156">
        <f>IFERROR(VLOOKUP(J$4,Ambulance!$AY$5:$BG$18,4,FALSE),"")</f>
        <v>0.24661572709223273</v>
      </c>
      <c r="K236" s="156">
        <f>IFERROR(VLOOKUP(K$4,Ambulance!$AY$5:$BG$18,4,FALSE),"")</f>
        <v>0.25922833800465145</v>
      </c>
      <c r="L236" s="156">
        <f>IFERROR(VLOOKUP(L$4,Ambulance!$AY$5:$BG$18,4,FALSE),"")</f>
        <v>0.26781136350086449</v>
      </c>
      <c r="M236" s="156">
        <f>IFERROR(VLOOKUP(M$4,Ambulance!$AY$5:$BG$18,4,FALSE),"")</f>
        <v>0.29266698359876397</v>
      </c>
      <c r="N236" s="156">
        <f>IFERROR(VLOOKUP(N$4,Ambulance!$AY$5:$BG$18,4,FALSE),"")</f>
        <v>0.26675634577143525</v>
      </c>
      <c r="O236" s="156">
        <f>IFERROR(VLOOKUP(O$4,Ambulance!$AY$5:$BG$18,4,FALSE),"")</f>
        <v>0.28786893002898206</v>
      </c>
      <c r="P236" s="156">
        <f>IFERROR(VLOOKUP(P$4,Ambulance!$AY$5:$BG$18,4,FALSE),"")</f>
        <v>0.28172951112168432</v>
      </c>
      <c r="Q236" s="69" t="str">
        <f>IFERROR(VLOOKUP(Q$4,Ambulance!$AY$5:$BF$19,4,FALSE),"")</f>
        <v/>
      </c>
      <c r="Z236" s="171"/>
      <c r="AA236" s="171"/>
      <c r="AB236" s="171"/>
      <c r="AC236" s="171"/>
    </row>
    <row r="237" spans="2:29" x14ac:dyDescent="0.35">
      <c r="B237" s="168"/>
      <c r="C237" s="1" t="s">
        <v>248</v>
      </c>
      <c r="D237" s="156">
        <f>IFERROR(VLOOKUP(D$4,Ambulance!$AY$5:$BG$18,8,FALSE),"")</f>
        <v>0.27076640660853601</v>
      </c>
      <c r="E237" s="156">
        <f>IFERROR(VLOOKUP(E$4,Ambulance!$AY$5:$BG$18,8,FALSE),"")</f>
        <v>0.27415086016762241</v>
      </c>
      <c r="F237" s="156">
        <f>IFERROR(VLOOKUP(F$4,Ambulance!$AY$5:$BG$18,8,FALSE),"")</f>
        <v>0.25866813428728674</v>
      </c>
      <c r="G237" s="156">
        <f>IFERROR(VLOOKUP(G$4,Ambulance!$AY$5:$BG$18,8,FALSE),"")</f>
        <v>0.18983492615117289</v>
      </c>
      <c r="H237" s="156">
        <f>IFERROR(VLOOKUP(H$4,Ambulance!$AY$5:$BG$18,8,FALSE),"")</f>
        <v>0.30164266426642666</v>
      </c>
      <c r="I237" s="156">
        <f>IFERROR(VLOOKUP(I$4,Ambulance!$AY$5:$BG$18,8,FALSE),"")</f>
        <v>0.26899250081512877</v>
      </c>
      <c r="J237" s="156">
        <f>IFERROR(VLOOKUP(J$4,Ambulance!$AY$5:$BG$18,8,FALSE),"")</f>
        <v>0.21844018506278917</v>
      </c>
      <c r="K237" s="156">
        <f>IFERROR(VLOOKUP(K$4,Ambulance!$AY$5:$BG$18,8,FALSE),"")</f>
        <v>0.24841668486569121</v>
      </c>
      <c r="L237" s="156">
        <f>IFERROR(VLOOKUP(L$4,Ambulance!$AY$5:$BG$18,8,FALSE),"")</f>
        <v>0.27389603130240359</v>
      </c>
      <c r="M237" s="156">
        <f>IFERROR(VLOOKUP(M$4,Ambulance!$AY$5:$BG$18,8,FALSE),"")</f>
        <v>0.27469066366704165</v>
      </c>
      <c r="N237" s="156">
        <f>IFERROR(VLOOKUP(N$4,Ambulance!$AY$5:$BG$18,8,FALSE),"")</f>
        <v>0.25866517106001119</v>
      </c>
      <c r="O237" s="156">
        <f>IFERROR(VLOOKUP(O$4,Ambulance!$AY$5:$BG$18,8,FALSE),"")</f>
        <v>0.27683551508252702</v>
      </c>
      <c r="P237" s="156">
        <f>IFERROR(VLOOKUP(P$4,Ambulance!$AY$5:$BG$18,8,FALSE),"")</f>
        <v>0.28764069987741003</v>
      </c>
      <c r="Q237" s="69"/>
      <c r="Z237" s="171"/>
      <c r="AA237" s="171"/>
      <c r="AB237" s="171"/>
      <c r="AC237" s="171"/>
    </row>
    <row r="238" spans="2:29" x14ac:dyDescent="0.35">
      <c r="B238" s="168"/>
      <c r="C238" s="1" t="s">
        <v>249</v>
      </c>
      <c r="D238" s="156">
        <f>IFERROR(VLOOKUP(D$4,Ambulance!$AY$5:$BG$18,5,FALSE),"")</f>
        <v>0.20370370370370369</v>
      </c>
      <c r="E238" s="156">
        <f>IFERROR(VLOOKUP(E$4,Ambulance!$AY$5:$BG$18,5,FALSE),"")</f>
        <v>0.17883650243867957</v>
      </c>
      <c r="F238" s="156">
        <f>IFERROR(VLOOKUP(F$4,Ambulance!$AY$5:$BG$18,5,FALSE),"")</f>
        <v>0.14636435843743231</v>
      </c>
      <c r="G238" s="156">
        <f>IFERROR(VLOOKUP(G$4,Ambulance!$AY$5:$BG$18,5,FALSE),"")</f>
        <v>0.1001995123032587</v>
      </c>
      <c r="H238" s="156">
        <f>IFERROR(VLOOKUP(H$4,Ambulance!$AY$5:$BG$18,5,FALSE),"")</f>
        <v>0.18707106486606154</v>
      </c>
      <c r="I238" s="156">
        <f>IFERROR(VLOOKUP(I$4,Ambulance!$AY$5:$BG$18,5,FALSE),"")</f>
        <v>0.18506998444790046</v>
      </c>
      <c r="J238" s="156">
        <f>IFERROR(VLOOKUP(J$4,Ambulance!$AY$5:$BG$18,5,FALSE),"")</f>
        <v>0.13782755087102913</v>
      </c>
      <c r="K238" s="156">
        <f>IFERROR(VLOOKUP(K$4,Ambulance!$AY$5:$BG$18,5,FALSE),"")</f>
        <v>0.13304442036836403</v>
      </c>
      <c r="L238" s="156">
        <f>IFERROR(VLOOKUP(L$4,Ambulance!$AY$5:$BG$18,5,FALSE),"")</f>
        <v>0.15332447738236735</v>
      </c>
      <c r="M238" s="156">
        <f>IFERROR(VLOOKUP(M$4,Ambulance!$AY$5:$BG$18,5,FALSE),"")</f>
        <v>0.16651392315826577</v>
      </c>
      <c r="N238" s="156">
        <f>IFERROR(VLOOKUP(N$4,Ambulance!$AY$5:$BG$18,5,FALSE),"")</f>
        <v>0.14009223029625489</v>
      </c>
      <c r="O238" s="156">
        <f>IFERROR(VLOOKUP(O$4,Ambulance!$AY$5:$BG$18,5,FALSE),"")</f>
        <v>0.1759813940376348</v>
      </c>
      <c r="P238" s="156">
        <f>IFERROR(VLOOKUP(P$4,Ambulance!$AY$5:$BG$18,5,FALSE),"")</f>
        <v>0.16948430174740731</v>
      </c>
      <c r="Q238" s="69"/>
      <c r="Z238" s="171"/>
      <c r="AA238" s="171"/>
      <c r="AB238" s="171"/>
      <c r="AC238" s="171"/>
    </row>
    <row r="239" spans="2:29" x14ac:dyDescent="0.35">
      <c r="B239" s="168"/>
      <c r="C239" s="1" t="s">
        <v>251</v>
      </c>
      <c r="D239" s="156">
        <f>IFERROR(VLOOKUP(D$4,Ambulance!$AY$5:$BG$18,9,FALSE),"")</f>
        <v>0.20016657412548583</v>
      </c>
      <c r="E239" s="156">
        <f>IFERROR(VLOOKUP(E$4,Ambulance!$AY$5:$BG$18,9,FALSE),"")</f>
        <v>0.22451171875000001</v>
      </c>
      <c r="F239" s="156">
        <f>IFERROR(VLOOKUP(F$4,Ambulance!$AY$5:$BG$18,9,FALSE),"")</f>
        <v>0.17767566532644075</v>
      </c>
      <c r="G239" s="156">
        <f>IFERROR(VLOOKUP(G$4,Ambulance!$AY$5:$BG$18,9,FALSE),"")</f>
        <v>0.12939796716184518</v>
      </c>
      <c r="H239" s="156">
        <f>IFERROR(VLOOKUP(H$4,Ambulance!$AY$5:$BG$18,9,FALSE),"")</f>
        <v>0.21738668931111346</v>
      </c>
      <c r="I239" s="156">
        <f>IFERROR(VLOOKUP(I$4,Ambulance!$AY$5:$BG$18,9,FALSE),"")</f>
        <v>0.20799273387829245</v>
      </c>
      <c r="J239" s="156">
        <f>IFERROR(VLOOKUP(J$4,Ambulance!$AY$5:$BG$18,9,FALSE),"")</f>
        <v>0.1177352830896138</v>
      </c>
      <c r="K239" s="156">
        <f>IFERROR(VLOOKUP(K$4,Ambulance!$AY$5:$BG$18,9,FALSE),"")</f>
        <v>0.14706966457795798</v>
      </c>
      <c r="L239" s="156">
        <f>IFERROR(VLOOKUP(L$4,Ambulance!$AY$5:$BG$18,9,FALSE),"")</f>
        <v>0.17053218266810499</v>
      </c>
      <c r="M239" s="156">
        <f>IFERROR(VLOOKUP(M$4,Ambulance!$AY$5:$BG$18,9,FALSE),"")</f>
        <v>0.16825679893000445</v>
      </c>
      <c r="N239" s="156">
        <f>IFERROR(VLOOKUP(N$4,Ambulance!$AY$5:$BG$18,9,FALSE),"")</f>
        <v>0.15565108364678487</v>
      </c>
      <c r="O239" s="156">
        <f>IFERROR(VLOOKUP(O$4,Ambulance!$AY$5:$BG$18,9,FALSE),"")</f>
        <v>0.16976785397838029</v>
      </c>
      <c r="P239" s="156">
        <f>IFERROR(VLOOKUP(P$4,Ambulance!$AY$5:$BG$18,9,FALSE),"")</f>
        <v>0.16882311237149947</v>
      </c>
      <c r="Q239" s="69" t="str">
        <f>IFERROR(VLOOKUP(Q$4,Ambulance!$AY$5:$BF$19,5,FALSE),"")</f>
        <v/>
      </c>
      <c r="Z239" s="171"/>
      <c r="AA239" s="171"/>
      <c r="AB239" s="171"/>
      <c r="AC239" s="171"/>
    </row>
    <row r="240" spans="2:29" ht="15.75" customHeight="1" x14ac:dyDescent="0.35">
      <c r="B240" s="168"/>
      <c r="C240" s="1" t="s">
        <v>217</v>
      </c>
      <c r="D240" s="156">
        <f>IFERROR(VLOOKUP(D$4,Ambulance!$AY$5:$BG$18,6,FALSE),"")</f>
        <v>0.16578140196005087</v>
      </c>
      <c r="E240" s="156">
        <f>IFERROR(VLOOKUP(E$4,Ambulance!$AY$5:$BG$18,6,FALSE),"")</f>
        <v>0.16151875847521471</v>
      </c>
      <c r="F240" s="156">
        <f>IFERROR(VLOOKUP(F$4,Ambulance!$AY$5:$BG$18,6,FALSE),"")</f>
        <v>0.11589584143023708</v>
      </c>
      <c r="G240" s="156">
        <f>IFERROR(VLOOKUP(G$4,Ambulance!$AY$5:$BG$18,6,FALSE),"")</f>
        <v>6.3587839405894644E-2</v>
      </c>
      <c r="H240" s="156">
        <f>IFERROR(VLOOKUP(H$4,Ambulance!$AY$5:$BG$18,6,FALSE),"")</f>
        <v>0.13853060642770612</v>
      </c>
      <c r="I240" s="156">
        <f>IFERROR(VLOOKUP(I$4,Ambulance!$AY$5:$BG$18,6,FALSE),"")</f>
        <v>0.14591679506933744</v>
      </c>
      <c r="J240" s="156">
        <f>IFERROR(VLOOKUP(J$4,Ambulance!$AY$5:$BG$18,6,FALSE),"")</f>
        <v>9.745630461922597E-2</v>
      </c>
      <c r="K240" s="156">
        <f>IFERROR(VLOOKUP(K$4,Ambulance!$AY$5:$BG$18,6,FALSE),"")</f>
        <v>9.7526236881559217E-2</v>
      </c>
      <c r="L240" s="156">
        <f>IFERROR(VLOOKUP(L$4,Ambulance!$AY$5:$BG$18,6,FALSE),"")</f>
        <v>0.10780226325193568</v>
      </c>
      <c r="M240" s="156">
        <f>IFERROR(VLOOKUP(M$4,Ambulance!$AY$5:$BG$18,6,FALSE),"")</f>
        <v>0.11207486875142661</v>
      </c>
      <c r="N240" s="156">
        <f>IFERROR(VLOOKUP(N$4,Ambulance!$AY$5:$BG$18,6,FALSE),"")</f>
        <v>0.12720230862697449</v>
      </c>
      <c r="O240" s="156">
        <f>IFERROR(VLOOKUP(O$4,Ambulance!$AY$5:$BG$18,6,FALSE),"")</f>
        <v>0.12353960955754881</v>
      </c>
      <c r="P240" s="156">
        <f>IFERROR(VLOOKUP(P$4,Ambulance!$AY$5:$BG$18,6,FALSE),"")</f>
        <v>0.13646120821833793</v>
      </c>
      <c r="Q240" s="69" t="str">
        <f>IFERROR(VLOOKUP(Q$4,Ambulance!$AY$5:$BF$19,6,FALSE),"")</f>
        <v/>
      </c>
      <c r="Z240" s="171"/>
      <c r="AA240" s="171"/>
      <c r="AB240" s="171"/>
      <c r="AC240" s="171"/>
    </row>
    <row r="241" spans="2:29" ht="15.75" customHeight="1" x14ac:dyDescent="0.35">
      <c r="B241" s="168"/>
      <c r="C241" s="11" t="s">
        <v>222</v>
      </c>
      <c r="D241" s="156">
        <f>IFERROR(VLOOKUP(D$4,Ambulance!$AY$5:$BG$18,7,FALSE),"")</f>
        <v>0.31185254944167901</v>
      </c>
      <c r="E241" s="156">
        <f>IFERROR(VLOOKUP(E$4,Ambulance!$AY$5:$BG$18,7,FALSE),"")</f>
        <v>0.28877485567671585</v>
      </c>
      <c r="F241" s="156">
        <f>IFERROR(VLOOKUP(F$4,Ambulance!$AY$5:$BG$18,7,FALSE),"")</f>
        <v>0.26081931424168486</v>
      </c>
      <c r="G241" s="156">
        <f>IFERROR(VLOOKUP(G$4,Ambulance!$AY$5:$BG$18,7,FALSE),"")</f>
        <v>0.19847703267010564</v>
      </c>
      <c r="H241" s="156">
        <f>IFERROR(VLOOKUP(H$4,Ambulance!$AY$5:$BG$18,7,FALSE),"")</f>
        <v>0.31594975256947089</v>
      </c>
      <c r="I241" s="156">
        <f>IFERROR(VLOOKUP(I$4,Ambulance!$AY$5:$BG$18,7,FALSE),"")</f>
        <v>0.30857659519504005</v>
      </c>
      <c r="J241" s="156">
        <f>IFERROR(VLOOKUP(J$4,Ambulance!$AY$5:$BG$18,7,FALSE),"")</f>
        <v>0.29755717255717257</v>
      </c>
      <c r="K241" s="156">
        <f>IFERROR(VLOOKUP(K$4,Ambulance!$AY$5:$BG$18,7,FALSE),"")</f>
        <v>0.30706589827110997</v>
      </c>
      <c r="L241" s="156">
        <f>IFERROR(VLOOKUP(L$4,Ambulance!$AY$5:$BG$18,7,FALSE),"")</f>
        <v>0.32793148880105399</v>
      </c>
      <c r="M241" s="156">
        <f>IFERROR(VLOOKUP(M$4,Ambulance!$AY$5:$BG$18,7,FALSE),"")</f>
        <v>0.35868816315281798</v>
      </c>
      <c r="N241" s="156">
        <f>IFERROR(VLOOKUP(N$4,Ambulance!$AY$5:$BG$18,7,FALSE),"")</f>
        <v>0.34460633605133001</v>
      </c>
      <c r="O241" s="156">
        <f>IFERROR(VLOOKUP(O$4,Ambulance!$AY$5:$BG$18,7,FALSE),"")</f>
        <v>0.36248609566184647</v>
      </c>
      <c r="P241" s="156">
        <f>IFERROR(VLOOKUP(P$4,Ambulance!$AY$5:$BG$18,7,FALSE),"")</f>
        <v>0.34685430463576161</v>
      </c>
      <c r="Q241" s="69" t="str">
        <f>IFERROR(VLOOKUP(Q$4,Ambulance!$AY$5:$BF$19,7,FALSE),"")</f>
        <v/>
      </c>
      <c r="Z241" s="171"/>
      <c r="AA241" s="171"/>
      <c r="AB241" s="171"/>
      <c r="AC241" s="171"/>
    </row>
    <row r="242" spans="2:29" s="42" customFormat="1" ht="10.5" customHeight="1" x14ac:dyDescent="0.35">
      <c r="B242" s="168"/>
      <c r="C242" s="11"/>
      <c r="D242" s="69"/>
      <c r="E242" s="69"/>
      <c r="F242" s="69"/>
      <c r="G242" s="69"/>
      <c r="H242" s="69"/>
      <c r="I242" s="69"/>
      <c r="J242" s="69"/>
      <c r="K242" s="69"/>
      <c r="L242" s="69"/>
      <c r="M242" s="69"/>
      <c r="N242" s="69"/>
      <c r="O242" s="69"/>
      <c r="P242" s="69"/>
      <c r="Q242" s="69"/>
      <c r="Z242" s="171"/>
      <c r="AA242" s="171"/>
      <c r="AB242" s="171"/>
      <c r="AC242" s="171"/>
    </row>
    <row r="243" spans="2:29" x14ac:dyDescent="0.35">
      <c r="B243" s="168"/>
      <c r="C243" s="39" t="s">
        <v>21</v>
      </c>
      <c r="D243" s="118">
        <v>3.1749043733583678E-2</v>
      </c>
      <c r="E243" s="118">
        <v>4.4708777686628384E-2</v>
      </c>
      <c r="F243" s="118">
        <v>4.9462749296221402E-2</v>
      </c>
      <c r="G243" s="118">
        <v>3.6506422614095251E-2</v>
      </c>
      <c r="H243" s="118">
        <v>5.3962950809891719E-2</v>
      </c>
      <c r="I243" s="118">
        <v>4.3859282625498756E-2</v>
      </c>
      <c r="J243" s="118">
        <v>2.7287540206534618E-2</v>
      </c>
      <c r="K243" s="118">
        <v>2.0383987364062283E-2</v>
      </c>
      <c r="L243" s="118">
        <v>3.035671733026658E-2</v>
      </c>
      <c r="M243" s="118">
        <v>2.4111648108326767E-2</v>
      </c>
      <c r="N243" s="118">
        <v>2.2643106549571475E-2</v>
      </c>
      <c r="O243" s="118">
        <v>2.096263457884737E-2</v>
      </c>
      <c r="P243" s="118">
        <v>2.56727102286043E-2</v>
      </c>
      <c r="Z243" s="171"/>
      <c r="AA243" s="171"/>
      <c r="AB243" s="171"/>
      <c r="AC243" s="171"/>
    </row>
    <row r="244" spans="2:29" x14ac:dyDescent="0.35">
      <c r="B244" s="168"/>
      <c r="C244" s="1" t="s">
        <v>283</v>
      </c>
      <c r="D244" s="7">
        <v>2.7201684863936152E-2</v>
      </c>
      <c r="E244" s="7">
        <v>4.7505754249291786E-2</v>
      </c>
      <c r="F244" s="7">
        <v>4.7257450321826946E-2</v>
      </c>
      <c r="G244" s="7">
        <v>2.954952871103915E-2</v>
      </c>
      <c r="H244" s="7">
        <v>5.8245621721082552E-2</v>
      </c>
      <c r="I244" s="7">
        <v>6.4062935762759135E-2</v>
      </c>
      <c r="J244" s="7">
        <v>3.8733294596165022E-2</v>
      </c>
      <c r="K244" s="7">
        <v>3.6976133893475399E-2</v>
      </c>
      <c r="L244" s="7">
        <v>2.6401038433320166E-2</v>
      </c>
      <c r="M244" s="7">
        <v>1.9074195289443163E-2</v>
      </c>
      <c r="N244" s="7">
        <v>1.0443618572705461E-2</v>
      </c>
      <c r="O244" s="7">
        <v>2.1256369725977428E-2</v>
      </c>
      <c r="P244" s="7">
        <v>1.8098211751348282E-2</v>
      </c>
      <c r="Z244" s="171"/>
      <c r="AA244" s="171"/>
      <c r="AB244" s="171"/>
      <c r="AC244" s="171"/>
    </row>
    <row r="245" spans="2:29" ht="7.5" customHeight="1" x14ac:dyDescent="0.35">
      <c r="B245" s="168"/>
      <c r="Z245" s="171"/>
      <c r="AA245" s="171"/>
      <c r="AB245" s="171"/>
      <c r="AC245" s="171"/>
    </row>
    <row r="246" spans="2:29" x14ac:dyDescent="0.35">
      <c r="B246" s="168"/>
      <c r="C246" s="16" t="s">
        <v>295</v>
      </c>
      <c r="D246" s="63">
        <f>IFERROR(VLOOKUP(D$4,Ambulance!$AY$22:$BG$35,2,FALSE),"")</f>
        <v>9.7874673691487973E-2</v>
      </c>
      <c r="E246" s="63">
        <f>IFERROR(VLOOKUP(E$4,Ambulance!$AY$22:$BG$35,2,FALSE),"")</f>
        <v>0.10007147111375819</v>
      </c>
      <c r="F246" s="63">
        <f>IFERROR(VLOOKUP(F$4,Ambulance!$AY$22:$BG$35,2,FALSE),"")</f>
        <v>7.3301813393979287E-2</v>
      </c>
      <c r="G246" s="63">
        <f>IFERROR(VLOOKUP(G$4,Ambulance!$AY$22:$BG$35,2,FALSE),"")</f>
        <v>3.5493548270502766E-2</v>
      </c>
      <c r="H246" s="63">
        <f>IFERROR(VLOOKUP(H$4,Ambulance!$AY$22:$BG$35,2,FALSE),"")</f>
        <v>9.8900047824007659E-2</v>
      </c>
      <c r="I246" s="63">
        <f>IFERROR(VLOOKUP(I$4,Ambulance!$AY$22:$BG$35,2,FALSE),"")</f>
        <v>9.7967434579496845E-2</v>
      </c>
      <c r="J246" s="63">
        <f>IFERROR(VLOOKUP(J$4,Ambulance!$AY$22:$BG$35,2,FALSE),"")</f>
        <v>6.7196895287832695E-2</v>
      </c>
      <c r="K246" s="63">
        <f>IFERROR(VLOOKUP(K$4,Ambulance!$AY$22:$BG$35,2,FALSE),"")</f>
        <v>6.989643672108127E-2</v>
      </c>
      <c r="L246" s="63">
        <f>IFERROR(VLOOKUP(L$4,Ambulance!$AY$22:$BG$35,2,FALSE),"")</f>
        <v>8.3751976928086336E-2</v>
      </c>
      <c r="M246" s="63">
        <f>IFERROR(VLOOKUP(M$4,Ambulance!$AY$22:$BG$35,2,FALSE),"")</f>
        <v>9.0846014535362327E-2</v>
      </c>
      <c r="N246" s="63">
        <f>IFERROR(VLOOKUP(N$4,Ambulance!$AY$22:$BG$35,2,FALSE),"")</f>
        <v>8.0173563191504288E-2</v>
      </c>
      <c r="O246" s="63">
        <f>IFERROR(VLOOKUP(O$4,Ambulance!$AY$22:$BG$35,2,FALSE),"")</f>
        <v>8.5037954927046133E-2</v>
      </c>
      <c r="P246" s="63">
        <f>IFERROR(VLOOKUP(P$4,Ambulance!$AY$22:$BG$35,2,FALSE),"")</f>
        <v>8.7448801845487506E-2</v>
      </c>
      <c r="Q246" s="93" t="str">
        <f>IFERROR(VLOOKUP(Q$4,Ambulance!$AY$22:$BF$36,2,FALSE),"")</f>
        <v/>
      </c>
      <c r="Z246" s="171"/>
      <c r="AA246" s="171"/>
      <c r="AB246" s="171"/>
      <c r="AC246" s="171"/>
    </row>
    <row r="247" spans="2:29" x14ac:dyDescent="0.35">
      <c r="B247" s="168"/>
      <c r="C247" s="1" t="s">
        <v>1</v>
      </c>
      <c r="D247" s="156">
        <f>IFERROR(VLOOKUP(D$4,Ambulance!$AY$22:$BG$35,3,FALSE),"")</f>
        <v>5.7777777777777775E-2</v>
      </c>
      <c r="E247" s="156">
        <f>IFERROR(VLOOKUP(E$4,Ambulance!$AY$22:$BG$35,3,FALSE),"")</f>
        <v>6.3966545341903505E-2</v>
      </c>
      <c r="F247" s="156">
        <f>IFERROR(VLOOKUP(F$4,Ambulance!$AY$22:$BG$35,3,FALSE),"")</f>
        <v>4.9738015171658718E-2</v>
      </c>
      <c r="G247" s="156">
        <f>IFERROR(VLOOKUP(G$4,Ambulance!$AY$22:$BG$35,3,FALSE),"")</f>
        <v>2.6498067010309278E-2</v>
      </c>
      <c r="H247" s="156">
        <f>IFERROR(VLOOKUP(H$4,Ambulance!$AY$22:$BG$35,3,FALSE),"")</f>
        <v>5.4400241109101868E-2</v>
      </c>
      <c r="I247" s="156">
        <f>IFERROR(VLOOKUP(I$4,Ambulance!$AY$22:$BG$35,3,FALSE),"")</f>
        <v>6.5562017047717677E-2</v>
      </c>
      <c r="J247" s="156">
        <f>IFERROR(VLOOKUP(J$4,Ambulance!$AY$22:$BG$35,3,FALSE),"")</f>
        <v>4.8435689455388183E-2</v>
      </c>
      <c r="K247" s="156">
        <f>IFERROR(VLOOKUP(K$4,Ambulance!$AY$22:$BG$35,3,FALSE),"")</f>
        <v>3.2941002294766451E-2</v>
      </c>
      <c r="L247" s="156">
        <f>IFERROR(VLOOKUP(L$4,Ambulance!$AY$22:$BG$35,3,FALSE),"")</f>
        <v>4.810126582278481E-2</v>
      </c>
      <c r="M247" s="156">
        <f>IFERROR(VLOOKUP(M$4,Ambulance!$AY$22:$BG$35,3,FALSE),"")</f>
        <v>5.0458715596330278E-2</v>
      </c>
      <c r="N247" s="156">
        <f>IFERROR(VLOOKUP(N$4,Ambulance!$AY$22:$BG$35,3,FALSE),"")</f>
        <v>4.5352492141894928E-2</v>
      </c>
      <c r="O247" s="156">
        <f>IFERROR(VLOOKUP(O$4,Ambulance!$AY$22:$BG$35,3,FALSE),"")</f>
        <v>2.9579857893110906E-2</v>
      </c>
      <c r="P247" s="156">
        <f>IFERROR(VLOOKUP(P$4,Ambulance!$AY$22:$BG$35,3,FALSE),"")</f>
        <v>4.606965909931228E-2</v>
      </c>
      <c r="Q247" s="69" t="str">
        <f>IFERROR(VLOOKUP(Q$4,Ambulance!$AY$22:$BF$36,3,FALSE),"")</f>
        <v/>
      </c>
      <c r="Z247" s="171"/>
      <c r="AA247" s="171"/>
      <c r="AB247" s="171"/>
      <c r="AC247" s="171"/>
    </row>
    <row r="248" spans="2:29" x14ac:dyDescent="0.35">
      <c r="B248" s="168"/>
      <c r="C248" s="1" t="s">
        <v>220</v>
      </c>
      <c r="D248" s="156">
        <f>IFERROR(VLOOKUP(D$4,Ambulance!$AY$22:$BG$35,4,FALSE),"")</f>
        <v>0.12623704052780396</v>
      </c>
      <c r="E248" s="156">
        <f>IFERROR(VLOOKUP(E$4,Ambulance!$AY$22:$BG$35,4,FALSE),"")</f>
        <v>0.14328105129292074</v>
      </c>
      <c r="F248" s="156">
        <f>IFERROR(VLOOKUP(F$4,Ambulance!$AY$22:$BG$35,4,FALSE),"")</f>
        <v>0.10157838096376898</v>
      </c>
      <c r="G248" s="156">
        <f>IFERROR(VLOOKUP(G$4,Ambulance!$AY$22:$BG$35,4,FALSE),"")</f>
        <v>3.4213866892341169E-2</v>
      </c>
      <c r="H248" s="156">
        <f>IFERROR(VLOOKUP(H$4,Ambulance!$AY$22:$BG$35,4,FALSE),"")</f>
        <v>0.13149331083524166</v>
      </c>
      <c r="I248" s="156">
        <f>IFERROR(VLOOKUP(I$4,Ambulance!$AY$22:$BG$35,4,FALSE),"")</f>
        <v>0.13334172752455301</v>
      </c>
      <c r="J248" s="156">
        <f>IFERROR(VLOOKUP(J$4,Ambulance!$AY$22:$BG$35,4,FALSE),"")</f>
        <v>9.0548101798929068E-2</v>
      </c>
      <c r="K248" s="156">
        <f>IFERROR(VLOOKUP(K$4,Ambulance!$AY$22:$BG$35,4,FALSE),"")</f>
        <v>9.8872920269545E-2</v>
      </c>
      <c r="L248" s="156">
        <f>IFERROR(VLOOKUP(L$4,Ambulance!$AY$22:$BG$35,4,FALSE),"")</f>
        <v>0.11405234603231383</v>
      </c>
      <c r="M248" s="156">
        <f>IFERROR(VLOOKUP(M$4,Ambulance!$AY$22:$BG$35,4,FALSE),"")</f>
        <v>0.1328143570240076</v>
      </c>
      <c r="N248" s="156">
        <f>IFERROR(VLOOKUP(N$4,Ambulance!$AY$22:$BG$35,4,FALSE),"")</f>
        <v>0.1053339571879752</v>
      </c>
      <c r="O248" s="156">
        <f>IFERROR(VLOOKUP(O$4,Ambulance!$AY$22:$BG$35,4,FALSE),"")</f>
        <v>0.11303010587330692</v>
      </c>
      <c r="P248" s="156">
        <f>IFERROR(VLOOKUP(P$4,Ambulance!$AY$22:$BG$35,4,FALSE),"")</f>
        <v>0.10871892470560247</v>
      </c>
      <c r="Q248" s="69" t="str">
        <f>IFERROR(VLOOKUP(Q$4,Ambulance!$AY$22:$BF$36,4,FALSE),"")</f>
        <v/>
      </c>
      <c r="Z248" s="171"/>
      <c r="AA248" s="171"/>
      <c r="AB248" s="171"/>
      <c r="AC248" s="171"/>
    </row>
    <row r="249" spans="2:29" x14ac:dyDescent="0.35">
      <c r="B249" s="168"/>
      <c r="C249" s="1" t="s">
        <v>248</v>
      </c>
      <c r="D249" s="156">
        <f>IFERROR(VLOOKUP(D$4,Ambulance!$AY$22:$BG$35,8,FALSE),"")</f>
        <v>0.12884350619550253</v>
      </c>
      <c r="E249" s="156">
        <f>IFERROR(VLOOKUP(E$4,Ambulance!$AY$22:$BG$35,8,FALSE),"")</f>
        <v>0.13553153947948832</v>
      </c>
      <c r="F249" s="156">
        <f>IFERROR(VLOOKUP(F$4,Ambulance!$AY$22:$BG$35,8,FALSE),"")</f>
        <v>0.10291689598238855</v>
      </c>
      <c r="G249" s="156">
        <f>IFERROR(VLOOKUP(G$4,Ambulance!$AY$22:$BG$35,8,FALSE),"")</f>
        <v>6.2445699391833191E-2</v>
      </c>
      <c r="H249" s="156">
        <f>IFERROR(VLOOKUP(H$4,Ambulance!$AY$22:$BG$35,8,FALSE),"")</f>
        <v>0.15155265526552655</v>
      </c>
      <c r="I249" s="156">
        <f>IFERROR(VLOOKUP(I$4,Ambulance!$AY$22:$BG$35,8,FALSE),"")</f>
        <v>0.11933485490707532</v>
      </c>
      <c r="J249" s="156">
        <f>IFERROR(VLOOKUP(J$4,Ambulance!$AY$22:$BG$35,8,FALSE),"")</f>
        <v>8.3829037232870676E-2</v>
      </c>
      <c r="K249" s="156">
        <f>IFERROR(VLOOKUP(K$4,Ambulance!$AY$22:$BG$35,8,FALSE),"")</f>
        <v>0.108975758899323</v>
      </c>
      <c r="L249" s="156">
        <f>IFERROR(VLOOKUP(L$4,Ambulance!$AY$22:$BG$35,8,FALSE),"")</f>
        <v>0.13672442705422022</v>
      </c>
      <c r="M249" s="156">
        <f>IFERROR(VLOOKUP(M$4,Ambulance!$AY$22:$BG$35,8,FALSE),"")</f>
        <v>0.12744656917885264</v>
      </c>
      <c r="N249" s="156">
        <f>IFERROR(VLOOKUP(N$4,Ambulance!$AY$22:$BG$35,8,FALSE),"")</f>
        <v>0.12293886707795849</v>
      </c>
      <c r="O249" s="156">
        <f>IFERROR(VLOOKUP(O$4,Ambulance!$AY$22:$BG$35,8,FALSE),"")</f>
        <v>0.13147410358565736</v>
      </c>
      <c r="P249" s="156">
        <f>IFERROR(VLOOKUP(P$4,Ambulance!$AY$22:$BG$35,8,FALSE),"")</f>
        <v>0.13652067313050262</v>
      </c>
      <c r="Q249" s="69"/>
      <c r="Z249" s="171"/>
      <c r="AA249" s="171"/>
      <c r="AB249" s="171"/>
      <c r="AC249" s="171"/>
    </row>
    <row r="250" spans="2:29" x14ac:dyDescent="0.35">
      <c r="B250" s="168"/>
      <c r="C250" s="1" t="s">
        <v>249</v>
      </c>
      <c r="D250" s="156">
        <f>IFERROR(VLOOKUP(D$4,Ambulance!$AY$22:$BG$35,5,FALSE),"")</f>
        <v>9.0849673202614376E-2</v>
      </c>
      <c r="E250" s="156">
        <f>IFERROR(VLOOKUP(E$4,Ambulance!$AY$22:$BG$35,5,FALSE),"")</f>
        <v>7.1675973704672366E-2</v>
      </c>
      <c r="F250" s="156">
        <f>IFERROR(VLOOKUP(F$4,Ambulance!$AY$22:$BG$35,5,FALSE),"")</f>
        <v>5.444436421402267E-2</v>
      </c>
      <c r="G250" s="156">
        <f>IFERROR(VLOOKUP(G$4,Ambulance!$AY$22:$BG$35,5,FALSE),"")</f>
        <v>2.4532623956255079E-2</v>
      </c>
      <c r="H250" s="156">
        <f>IFERROR(VLOOKUP(H$4,Ambulance!$AY$22:$BG$35,5,FALSE),"")</f>
        <v>7.5713969448749169E-2</v>
      </c>
      <c r="I250" s="156">
        <f>IFERROR(VLOOKUP(I$4,Ambulance!$AY$22:$BG$35,5,FALSE),"")</f>
        <v>7.8382581648522548E-2</v>
      </c>
      <c r="J250" s="156">
        <f>IFERROR(VLOOKUP(J$4,Ambulance!$AY$22:$BG$35,5,FALSE),"")</f>
        <v>4.4722588200849067E-2</v>
      </c>
      <c r="K250" s="156">
        <f>IFERROR(VLOOKUP(K$4,Ambulance!$AY$22:$BG$35,5,FALSE),"")</f>
        <v>4.4420368364030335E-2</v>
      </c>
      <c r="L250" s="156">
        <f>IFERROR(VLOOKUP(L$4,Ambulance!$AY$22:$BG$35,5,FALSE),"")</f>
        <v>5.8379360973222404E-2</v>
      </c>
      <c r="M250" s="156">
        <f>IFERROR(VLOOKUP(M$4,Ambulance!$AY$22:$BG$35,5,FALSE),"")</f>
        <v>6.450475854776172E-2</v>
      </c>
      <c r="N250" s="156">
        <f>IFERROR(VLOOKUP(N$4,Ambulance!$AY$22:$BG$35,5,FALSE),"")</f>
        <v>4.7861934041363893E-2</v>
      </c>
      <c r="O250" s="156">
        <f>IFERROR(VLOOKUP(O$4,Ambulance!$AY$22:$BG$35,5,FALSE),"")</f>
        <v>7.2027627035027131E-2</v>
      </c>
      <c r="P250" s="156">
        <f>IFERROR(VLOOKUP(P$4,Ambulance!$AY$22:$BG$35,5,FALSE),"")</f>
        <v>6.6983946583321491E-2</v>
      </c>
      <c r="Q250" s="69"/>
      <c r="Z250" s="171"/>
      <c r="AA250" s="171"/>
      <c r="AB250" s="171"/>
      <c r="AC250" s="171"/>
    </row>
    <row r="251" spans="2:29" x14ac:dyDescent="0.35">
      <c r="B251" s="168"/>
      <c r="C251" s="1" t="s">
        <v>251</v>
      </c>
      <c r="D251" s="156">
        <f>IFERROR(VLOOKUP(D$4,Ambulance!$AY$22:$BG$35,9,FALSE),"")</f>
        <v>6.4778826577827131E-2</v>
      </c>
      <c r="E251" s="156">
        <f>IFERROR(VLOOKUP(E$4,Ambulance!$AY$22:$BG$35,9,FALSE),"")</f>
        <v>8.4375000000000006E-2</v>
      </c>
      <c r="F251" s="156">
        <f>IFERROR(VLOOKUP(F$4,Ambulance!$AY$22:$BG$35,9,FALSE),"")</f>
        <v>5.3609036951943329E-2</v>
      </c>
      <c r="G251" s="156">
        <f>IFERROR(VLOOKUP(G$4,Ambulance!$AY$22:$BG$35,9,FALSE),"")</f>
        <v>2.570367474589523E-2</v>
      </c>
      <c r="H251" s="156">
        <f>IFERROR(VLOOKUP(H$4,Ambulance!$AY$22:$BG$35,9,FALSE),"")</f>
        <v>8.3112196157520427E-2</v>
      </c>
      <c r="I251" s="156">
        <f>IFERROR(VLOOKUP(I$4,Ambulance!$AY$22:$BG$35,9,FALSE),"")</f>
        <v>8.0532848925219502E-2</v>
      </c>
      <c r="J251" s="156">
        <f>IFERROR(VLOOKUP(J$4,Ambulance!$AY$22:$BG$35,9,FALSE),"")</f>
        <v>3.4120734908136482E-2</v>
      </c>
      <c r="K251" s="156">
        <f>IFERROR(VLOOKUP(K$4,Ambulance!$AY$22:$BG$35,9,FALSE),"")</f>
        <v>4.2572797640987835E-2</v>
      </c>
      <c r="L251" s="156">
        <f>IFERROR(VLOOKUP(L$4,Ambulance!$AY$22:$BG$35,9,FALSE),"")</f>
        <v>4.9622437971952538E-2</v>
      </c>
      <c r="M251" s="156">
        <f>IFERROR(VLOOKUP(M$4,Ambulance!$AY$22:$BG$35,9,FALSE),"")</f>
        <v>5.0735621934908604E-2</v>
      </c>
      <c r="N251" s="156">
        <f>IFERROR(VLOOKUP(N$4,Ambulance!$AY$22:$BG$35,9,FALSE),"")</f>
        <v>4.7375962744044424E-2</v>
      </c>
      <c r="O251" s="156">
        <f>IFERROR(VLOOKUP(O$4,Ambulance!$AY$22:$BG$35,9,FALSE),"")</f>
        <v>4.9884813042707782E-2</v>
      </c>
      <c r="P251" s="156">
        <f>IFERROR(VLOOKUP(P$4,Ambulance!$AY$22:$BG$35,9,FALSE),"")</f>
        <v>5.370436015597306E-2</v>
      </c>
      <c r="Q251" s="69" t="str">
        <f>IFERROR(VLOOKUP(Q$4,Ambulance!$AY$22:$BF$36,5,FALSE),"")</f>
        <v/>
      </c>
      <c r="Z251" s="171"/>
      <c r="AA251" s="171"/>
      <c r="AB251" s="171"/>
      <c r="AC251" s="171"/>
    </row>
    <row r="252" spans="2:29" x14ac:dyDescent="0.35">
      <c r="B252" s="168"/>
      <c r="C252" s="1" t="s">
        <v>221</v>
      </c>
      <c r="D252" s="156">
        <f>IFERROR(VLOOKUP(D$4,Ambulance!$AY$22:$BG$35,6,FALSE),"")</f>
        <v>5.9624448268122993E-2</v>
      </c>
      <c r="E252" s="156">
        <f>IFERROR(VLOOKUP(E$4,Ambulance!$AY$22:$BG$35,6,FALSE),"")</f>
        <v>5.7179448546029833E-2</v>
      </c>
      <c r="F252" s="156">
        <f>IFERROR(VLOOKUP(F$4,Ambulance!$AY$22:$BG$35,6,FALSE),"")</f>
        <v>3.1636222308589194E-2</v>
      </c>
      <c r="G252" s="156">
        <f>IFERROR(VLOOKUP(G$4,Ambulance!$AY$22:$BG$35,6,FALSE),"")</f>
        <v>9.437611201361492E-3</v>
      </c>
      <c r="H252" s="156">
        <f>IFERROR(VLOOKUP(H$4,Ambulance!$AY$22:$BG$35,6,FALSE),"")</f>
        <v>4.6461911209292384E-2</v>
      </c>
      <c r="I252" s="156">
        <f>IFERROR(VLOOKUP(I$4,Ambulance!$AY$22:$BG$35,6,FALSE),"")</f>
        <v>4.707241910631741E-2</v>
      </c>
      <c r="J252" s="156">
        <f>IFERROR(VLOOKUP(J$4,Ambulance!$AY$22:$BG$35,6,FALSE),"")</f>
        <v>2.9260299625468163E-2</v>
      </c>
      <c r="K252" s="156">
        <f>IFERROR(VLOOKUP(K$4,Ambulance!$AY$22:$BG$35,6,FALSE),"")</f>
        <v>2.2638680659670164E-2</v>
      </c>
      <c r="L252" s="156">
        <f>IFERROR(VLOOKUP(L$4,Ambulance!$AY$22:$BG$35,6,FALSE),"")</f>
        <v>2.9630732578916023E-2</v>
      </c>
      <c r="M252" s="156">
        <f>IFERROR(VLOOKUP(M$4,Ambulance!$AY$22:$BG$35,6,FALSE),"")</f>
        <v>3.3630069238377844E-2</v>
      </c>
      <c r="N252" s="156">
        <f>IFERROR(VLOOKUP(N$4,Ambulance!$AY$22:$BG$35,6,FALSE),"")</f>
        <v>3.8350546780072901E-2</v>
      </c>
      <c r="O252" s="156">
        <f>IFERROR(VLOOKUP(O$4,Ambulance!$AY$22:$BG$35,6,FALSE),"")</f>
        <v>3.1506746061656744E-2</v>
      </c>
      <c r="P252" s="156">
        <f>IFERROR(VLOOKUP(P$4,Ambulance!$AY$22:$BG$35,6,FALSE),"")</f>
        <v>3.879178166206685E-2</v>
      </c>
      <c r="Q252" s="69" t="str">
        <f>IFERROR(VLOOKUP(Q$4,Ambulance!$AY$22:$BF$36,6,FALSE),"")</f>
        <v/>
      </c>
      <c r="Z252" s="171"/>
      <c r="AA252" s="171"/>
      <c r="AB252" s="171"/>
      <c r="AC252" s="171"/>
    </row>
    <row r="253" spans="2:29" x14ac:dyDescent="0.35">
      <c r="B253" s="168"/>
      <c r="C253" s="1" t="s">
        <v>222</v>
      </c>
      <c r="D253" s="156">
        <f>IFERROR(VLOOKUP(D$4,Ambulance!$AY$22:$BG$35,7,FALSE),"")</f>
        <v>0.19588322346293555</v>
      </c>
      <c r="E253" s="156">
        <f>IFERROR(VLOOKUP(E$4,Ambulance!$AY$22:$BG$35,7,FALSE),"")</f>
        <v>0.17228992944194996</v>
      </c>
      <c r="F253" s="156">
        <f>IFERROR(VLOOKUP(F$4,Ambulance!$AY$22:$BG$35,7,FALSE),"")</f>
        <v>0.14549890843713881</v>
      </c>
      <c r="G253" s="156">
        <f>IFERROR(VLOOKUP(G$4,Ambulance!$AY$22:$BG$35,7,FALSE),"")</f>
        <v>9.3220338983050849E-2</v>
      </c>
      <c r="H253" s="156">
        <f>IFERROR(VLOOKUP(H$4,Ambulance!$AY$22:$BG$35,7,FALSE),"")</f>
        <v>0.19794442329653597</v>
      </c>
      <c r="I253" s="156">
        <f>IFERROR(VLOOKUP(I$4,Ambulance!$AY$22:$BG$35,7,FALSE),"")</f>
        <v>0.19271506070782743</v>
      </c>
      <c r="J253" s="156">
        <f>IFERROR(VLOOKUP(J$4,Ambulance!$AY$22:$BG$35,7,FALSE),"")</f>
        <v>0.17762474012474014</v>
      </c>
      <c r="K253" s="156">
        <f>IFERROR(VLOOKUP(K$4,Ambulance!$AY$22:$BG$35,7,FALSE),"")</f>
        <v>0.18704585316963168</v>
      </c>
      <c r="L253" s="156">
        <f>IFERROR(VLOOKUP(L$4,Ambulance!$AY$22:$BG$35,7,FALSE),"")</f>
        <v>0.21291172595520422</v>
      </c>
      <c r="M253" s="156">
        <f>IFERROR(VLOOKUP(M$4,Ambulance!$AY$22:$BG$35,7,FALSE),"")</f>
        <v>0.24100868127325342</v>
      </c>
      <c r="N253" s="156">
        <f>IFERROR(VLOOKUP(N$4,Ambulance!$AY$22:$BG$35,7,FALSE),"")</f>
        <v>0.21828632535757253</v>
      </c>
      <c r="O253" s="156">
        <f>IFERROR(VLOOKUP(O$4,Ambulance!$AY$22:$BG$35,7,FALSE),"")</f>
        <v>0.24193548387096775</v>
      </c>
      <c r="P253" s="156">
        <f>IFERROR(VLOOKUP(P$4,Ambulance!$AY$22:$BG$35,7,FALSE),"")</f>
        <v>0.23440949227373067</v>
      </c>
      <c r="Q253" s="69" t="str">
        <f>IFERROR(VLOOKUP(Q$4,Ambulance!$AY$22:$BF$36,7,FALSE),"")</f>
        <v/>
      </c>
      <c r="Z253" s="171"/>
      <c r="AA253" s="171"/>
      <c r="AB253" s="171"/>
      <c r="AC253" s="171"/>
    </row>
    <row r="254" spans="2:29" ht="7.5" customHeight="1" x14ac:dyDescent="0.35">
      <c r="B254" s="168"/>
      <c r="Q254" s="64"/>
      <c r="Z254" s="171"/>
      <c r="AA254" s="171"/>
      <c r="AB254" s="171"/>
      <c r="AC254" s="171"/>
    </row>
    <row r="255" spans="2:29" x14ac:dyDescent="0.35">
      <c r="B255" s="168"/>
      <c r="C255" s="11" t="s">
        <v>22</v>
      </c>
      <c r="D255" s="159">
        <f>HLOOKUP(D4,Ambulance!BL142:BY143,2,FALSE)</f>
        <v>114</v>
      </c>
      <c r="E255" s="159">
        <f>HLOOKUP(E4,Ambulance!BM142:BZ143,2,FALSE)</f>
        <v>113</v>
      </c>
      <c r="F255" s="159">
        <f>HLOOKUP(F4,Ambulance!BN142:CA143,2,FALSE)</f>
        <v>112</v>
      </c>
      <c r="G255" s="159">
        <f>HLOOKUP(G4,Ambulance!BO142:CB143,2,FALSE)</f>
        <v>106</v>
      </c>
      <c r="H255" s="159">
        <f>HLOOKUP(H4,Ambulance!BP142:CC143,2,FALSE)</f>
        <v>114</v>
      </c>
      <c r="I255" s="159">
        <f>HLOOKUP(I4,Ambulance!BQ142:CD143,2,FALSE)</f>
        <v>112</v>
      </c>
      <c r="J255" s="159">
        <f>HLOOKUP(J4,Ambulance!BR142:CE143,2,FALSE)</f>
        <v>109</v>
      </c>
      <c r="K255" s="159">
        <f>HLOOKUP(K4,Ambulance!BS142:CF143,2,FALSE)</f>
        <v>108</v>
      </c>
      <c r="L255" s="159">
        <f>HLOOKUP(L4,Ambulance!BT142:CG143,2,FALSE)</f>
        <v>110</v>
      </c>
      <c r="M255" s="159">
        <f>HLOOKUP(M4,Ambulance!BU142:CH143,2,FALSE)</f>
        <v>112</v>
      </c>
      <c r="N255" s="159">
        <f>HLOOKUP(N4,Ambulance!BV142:CI143,2,FALSE)</f>
        <v>109</v>
      </c>
      <c r="O255" s="159">
        <f>HLOOKUP(O4,Ambulance!BW142:CJ143,2,FALSE)</f>
        <v>110</v>
      </c>
      <c r="P255" s="159">
        <f>HLOOKUP(P4,Ambulance!BX142:CK143,2,FALSE)</f>
        <v>112</v>
      </c>
      <c r="Q255" s="96"/>
      <c r="Z255" s="171"/>
      <c r="AA255" s="171"/>
      <c r="AB255" s="171"/>
      <c r="AC255" s="171"/>
    </row>
    <row r="256" spans="2:29" x14ac:dyDescent="0.35">
      <c r="B256" s="151"/>
      <c r="C256" s="11"/>
      <c r="D256" s="160"/>
      <c r="E256" s="160"/>
      <c r="F256" s="160"/>
      <c r="G256" s="160"/>
      <c r="H256" s="160"/>
      <c r="I256" s="160"/>
      <c r="J256" s="160"/>
      <c r="K256" s="160"/>
      <c r="L256" s="160"/>
      <c r="M256" s="160"/>
      <c r="N256" s="160"/>
      <c r="O256" s="160"/>
      <c r="P256" s="160"/>
      <c r="Q256" s="96"/>
      <c r="Z256" s="150"/>
      <c r="AA256" s="150"/>
      <c r="AB256" s="150"/>
      <c r="AC256" s="150"/>
    </row>
    <row r="257" spans="2:29" ht="15" customHeight="1" x14ac:dyDescent="0.35"/>
    <row r="259" spans="2:29" ht="14.5" customHeight="1" x14ac:dyDescent="0.35">
      <c r="B259" s="168" t="s">
        <v>326</v>
      </c>
      <c r="C259" s="12" t="s">
        <v>327</v>
      </c>
      <c r="D259" s="130"/>
      <c r="E259" s="130"/>
      <c r="F259" s="130"/>
      <c r="G259" s="130"/>
      <c r="H259" s="130"/>
      <c r="I259" s="130"/>
      <c r="J259" s="130"/>
      <c r="K259" s="130"/>
      <c r="L259" s="130"/>
      <c r="M259" s="130"/>
      <c r="N259" s="130"/>
      <c r="O259" s="130"/>
      <c r="P259" s="130"/>
      <c r="Z259" s="169" t="s">
        <v>332</v>
      </c>
      <c r="AA259" s="169"/>
      <c r="AB259" s="169"/>
      <c r="AC259" s="169"/>
    </row>
    <row r="260" spans="2:29" x14ac:dyDescent="0.35">
      <c r="B260" s="168"/>
      <c r="C260" s="1"/>
      <c r="Z260" s="169"/>
      <c r="AA260" s="169"/>
      <c r="AB260" s="169"/>
      <c r="AC260" s="169"/>
    </row>
    <row r="261" spans="2:29" x14ac:dyDescent="0.35">
      <c r="B261" s="168"/>
      <c r="C261" s="16" t="s">
        <v>295</v>
      </c>
      <c r="D261" s="62">
        <f>IFERROR(VLOOKUP(D$4,Flu!$R$4:$Z$16,2,FALSE),"")</f>
        <v>218</v>
      </c>
      <c r="E261" s="62">
        <f>IFERROR(VLOOKUP(E$4,Flu!$R$4:$Z$16,2,FALSE),"")</f>
        <v>173</v>
      </c>
      <c r="F261" s="62">
        <f>IFERROR(VLOOKUP(F$4,Flu!$R$4:$Z$16,2,FALSE),"")</f>
        <v>210</v>
      </c>
      <c r="G261" s="62">
        <f>IFERROR(VLOOKUP(G$4,Flu!$R$4:$Z$16,2,FALSE),"")</f>
        <v>224</v>
      </c>
      <c r="H261" s="62">
        <f>IFERROR(VLOOKUP(H$4,Flu!$R$4:$Z$16,2,FALSE),"")</f>
        <v>258</v>
      </c>
      <c r="I261" s="62">
        <f>IFERROR(VLOOKUP(I$4,Flu!$R$4:$Z$16,2,FALSE),"")</f>
        <v>318</v>
      </c>
      <c r="J261" s="62">
        <f>IFERROR(VLOOKUP(J$4,Flu!$R$4:$Z$16,2,FALSE),"")</f>
        <v>252</v>
      </c>
      <c r="K261" s="62">
        <f>IFERROR(VLOOKUP(K$4,Flu!$R$4:$Z$16,2,FALSE),"")</f>
        <v>227</v>
      </c>
      <c r="L261" s="62">
        <f>IFERROR(VLOOKUP(L$4,Flu!$R$4:$Z$16,2,FALSE),"")</f>
        <v>232</v>
      </c>
      <c r="M261" s="62">
        <f>IFERROR(VLOOKUP(M$4,Flu!$R$4:$Z$16,2,FALSE),"")</f>
        <v>223</v>
      </c>
      <c r="N261" s="62">
        <f>IFERROR(VLOOKUP(N$4,Flu!$R$4:$Z$16,2,FALSE),"")</f>
        <v>172</v>
      </c>
      <c r="O261" s="62">
        <f>IFERROR(VLOOKUP(O$4,Flu!$R$4:$Z$16,2,FALSE),"")</f>
        <v>186</v>
      </c>
      <c r="P261" s="62">
        <f>IFERROR(VLOOKUP(P$4,Flu!$R$4:$Z$16,2,FALSE),"")</f>
        <v>238</v>
      </c>
      <c r="Z261" s="169"/>
      <c r="AA261" s="169"/>
      <c r="AB261" s="169"/>
      <c r="AC261" s="169"/>
    </row>
    <row r="262" spans="2:29" x14ac:dyDescent="0.35">
      <c r="B262" s="168"/>
      <c r="C262" s="1" t="s">
        <v>1</v>
      </c>
      <c r="D262" s="155">
        <f>IFERROR(VLOOKUP(D$4,Flu!$R$4:$Z$16,3,FALSE),"")</f>
        <v>13</v>
      </c>
      <c r="E262" s="155">
        <f>IFERROR(VLOOKUP(E$4,Flu!$R$4:$Z$16,3,FALSE),"")</f>
        <v>34</v>
      </c>
      <c r="F262" s="155">
        <f>IFERROR(VLOOKUP(F$4,Flu!$R$4:$Z$16,3,FALSE),"")</f>
        <v>40</v>
      </c>
      <c r="G262" s="155">
        <f>IFERROR(VLOOKUP(G$4,Flu!$R$4:$Z$16,3,FALSE),"")</f>
        <v>42</v>
      </c>
      <c r="H262" s="155">
        <f>IFERROR(VLOOKUP(H$4,Flu!$R$4:$Z$16,3,FALSE),"")</f>
        <v>7</v>
      </c>
      <c r="I262" s="155">
        <f>IFERROR(VLOOKUP(I$4,Flu!$R$4:$Z$16,3,FALSE),"")</f>
        <v>7</v>
      </c>
      <c r="J262" s="155">
        <f>IFERROR(VLOOKUP(J$4,Flu!$R$4:$Z$16,3,FALSE),"")</f>
        <v>3</v>
      </c>
      <c r="K262" s="155">
        <f>IFERROR(VLOOKUP(K$4,Flu!$R$4:$Z$16,3,FALSE),"")</f>
        <v>9</v>
      </c>
      <c r="L262" s="155">
        <f>IFERROR(VLOOKUP(L$4,Flu!$R$4:$Z$16,3,FALSE),"")</f>
        <v>10</v>
      </c>
      <c r="M262" s="155">
        <f>IFERROR(VLOOKUP(M$4,Flu!$R$4:$Z$16,3,FALSE),"")</f>
        <v>7</v>
      </c>
      <c r="N262" s="155">
        <f>IFERROR(VLOOKUP(N$4,Flu!$R$4:$Z$16,3,FALSE),"")</f>
        <v>19</v>
      </c>
      <c r="O262" s="155">
        <f>IFERROR(VLOOKUP(O$4,Flu!$R$4:$Z$16,3,FALSE),"")</f>
        <v>20</v>
      </c>
      <c r="P262" s="155">
        <f>IFERROR(VLOOKUP(P$4,Flu!$R$4:$Z$16,3,FALSE),"")</f>
        <v>20</v>
      </c>
      <c r="Z262" s="169"/>
      <c r="AA262" s="169"/>
      <c r="AB262" s="169"/>
      <c r="AC262" s="169"/>
    </row>
    <row r="263" spans="2:29" x14ac:dyDescent="0.35">
      <c r="B263" s="168"/>
      <c r="C263" s="1" t="s">
        <v>220</v>
      </c>
      <c r="D263" s="155">
        <f>IFERROR(VLOOKUP(D$4,Flu!$R$4:$Z$16,4,FALSE),"")</f>
        <v>13</v>
      </c>
      <c r="E263" s="155">
        <f>IFERROR(VLOOKUP(E$4,Flu!$R$4:$Z$16,4,FALSE),"")</f>
        <v>27</v>
      </c>
      <c r="F263" s="155">
        <f>IFERROR(VLOOKUP(F$4,Flu!$R$4:$Z$16,4,FALSE),"")</f>
        <v>43</v>
      </c>
      <c r="G263" s="155">
        <f>IFERROR(VLOOKUP(G$4,Flu!$R$4:$Z$16,4,FALSE),"")</f>
        <v>30</v>
      </c>
      <c r="H263" s="155">
        <f>IFERROR(VLOOKUP(H$4,Flu!$R$4:$Z$16,4,FALSE),"")</f>
        <v>40</v>
      </c>
      <c r="I263" s="155">
        <f>IFERROR(VLOOKUP(I$4,Flu!$R$4:$Z$16,4,FALSE),"")</f>
        <v>58</v>
      </c>
      <c r="J263" s="155">
        <f>IFERROR(VLOOKUP(J$4,Flu!$R$4:$Z$16,4,FALSE),"")</f>
        <v>35</v>
      </c>
      <c r="K263" s="155">
        <f>IFERROR(VLOOKUP(K$4,Flu!$R$4:$Z$16,4,FALSE),"")</f>
        <v>26</v>
      </c>
      <c r="L263" s="155">
        <f>IFERROR(VLOOKUP(L$4,Flu!$R$4:$Z$16,4,FALSE),"")</f>
        <v>48</v>
      </c>
      <c r="M263" s="155">
        <f>IFERROR(VLOOKUP(M$4,Flu!$R$4:$Z$16,4,FALSE),"")</f>
        <v>39</v>
      </c>
      <c r="N263" s="155">
        <f>IFERROR(VLOOKUP(N$4,Flu!$R$4:$Z$16,4,FALSE),"")</f>
        <v>24</v>
      </c>
      <c r="O263" s="155">
        <f>IFERROR(VLOOKUP(O$4,Flu!$R$4:$Z$16,4,FALSE),"")</f>
        <v>31</v>
      </c>
      <c r="P263" s="155">
        <f>IFERROR(VLOOKUP(P$4,Flu!$R$4:$Z$16,4,FALSE),"")</f>
        <v>81</v>
      </c>
      <c r="Z263" s="169"/>
      <c r="AA263" s="169"/>
      <c r="AB263" s="169"/>
      <c r="AC263" s="169"/>
    </row>
    <row r="264" spans="2:29" x14ac:dyDescent="0.35">
      <c r="B264" s="168"/>
      <c r="C264" s="1" t="s">
        <v>248</v>
      </c>
      <c r="D264" s="155">
        <f>IFERROR(VLOOKUP(D$4,Flu!$R$4:$Z$16,8,FALSE),"")</f>
        <v>0</v>
      </c>
      <c r="E264" s="155">
        <f>IFERROR(VLOOKUP(E$4,Flu!$R$4:$Z$16,8,FALSE),"")</f>
        <v>1</v>
      </c>
      <c r="F264" s="155">
        <f>IFERROR(VLOOKUP(F$4,Flu!$R$4:$Z$16,8,FALSE),"")</f>
        <v>3</v>
      </c>
      <c r="G264" s="155">
        <f>IFERROR(VLOOKUP(G$4,Flu!$R$4:$Z$16,8,FALSE),"")</f>
        <v>8</v>
      </c>
      <c r="H264" s="155">
        <f>IFERROR(VLOOKUP(H$4,Flu!$R$4:$Z$16,8,FALSE),"")</f>
        <v>20</v>
      </c>
      <c r="I264" s="155">
        <f>IFERROR(VLOOKUP(I$4,Flu!$R$4:$Z$16,8,FALSE),"")</f>
        <v>2</v>
      </c>
      <c r="J264" s="155">
        <f>IFERROR(VLOOKUP(J$4,Flu!$R$4:$Z$16,8,FALSE),"")</f>
        <v>9</v>
      </c>
      <c r="K264" s="155">
        <f>IFERROR(VLOOKUP(K$4,Flu!$R$4:$Z$16,8,FALSE),"")</f>
        <v>1</v>
      </c>
      <c r="L264" s="155">
        <f>IFERROR(VLOOKUP(L$4,Flu!$R$4:$Z$16,8,FALSE),"")</f>
        <v>2</v>
      </c>
      <c r="M264" s="155">
        <f>IFERROR(VLOOKUP(M$4,Flu!$R$4:$Z$16,8,FALSE),"")</f>
        <v>2</v>
      </c>
      <c r="N264" s="155">
        <f>IFERROR(VLOOKUP(N$4,Flu!$R$4:$Z$16,8,FALSE),"")</f>
        <v>1</v>
      </c>
      <c r="O264" s="155">
        <f>IFERROR(VLOOKUP(O$4,Flu!$R$4:$Z$16,8,FALSE),"")</f>
        <v>10</v>
      </c>
      <c r="P264" s="155">
        <f>IFERROR(VLOOKUP(P$4,Flu!$R$4:$Z$16,8,FALSE),"")</f>
        <v>19</v>
      </c>
      <c r="Z264" s="169"/>
      <c r="AA264" s="169"/>
      <c r="AB264" s="169"/>
      <c r="AC264" s="169"/>
    </row>
    <row r="265" spans="2:29" x14ac:dyDescent="0.35">
      <c r="B265" s="168"/>
      <c r="C265" s="1" t="s">
        <v>249</v>
      </c>
      <c r="D265" s="155">
        <f>IFERROR(VLOOKUP(D$4,Flu!$R$4:$Z$16,5,FALSE),"")</f>
        <v>35</v>
      </c>
      <c r="E265" s="155">
        <f>IFERROR(VLOOKUP(E$4,Flu!$R$4:$Z$16,5,FALSE),"")</f>
        <v>34</v>
      </c>
      <c r="F265" s="155">
        <f>IFERROR(VLOOKUP(F$4,Flu!$R$4:$Z$16,5,FALSE),"")</f>
        <v>40</v>
      </c>
      <c r="G265" s="155">
        <f>IFERROR(VLOOKUP(G$4,Flu!$R$4:$Z$16,5,FALSE),"")</f>
        <v>45</v>
      </c>
      <c r="H265" s="155">
        <f>IFERROR(VLOOKUP(H$4,Flu!$R$4:$Z$16,5,FALSE),"")</f>
        <v>70</v>
      </c>
      <c r="I265" s="155">
        <f>IFERROR(VLOOKUP(I$4,Flu!$R$4:$Z$16,5,FALSE),"")</f>
        <v>138</v>
      </c>
      <c r="J265" s="155">
        <f>IFERROR(VLOOKUP(J$4,Flu!$R$4:$Z$16,5,FALSE),"")</f>
        <v>135</v>
      </c>
      <c r="K265" s="155">
        <f>IFERROR(VLOOKUP(K$4,Flu!$R$4:$Z$16,5,FALSE),"")</f>
        <v>131</v>
      </c>
      <c r="L265" s="155">
        <f>IFERROR(VLOOKUP(L$4,Flu!$R$4:$Z$16,5,FALSE),"")</f>
        <v>108</v>
      </c>
      <c r="M265" s="155">
        <f>IFERROR(VLOOKUP(M$4,Flu!$R$4:$Z$16,5,FALSE),"")</f>
        <v>94</v>
      </c>
      <c r="N265" s="155">
        <f>IFERROR(VLOOKUP(N$4,Flu!$R$4:$Z$16,5,FALSE),"")</f>
        <v>56</v>
      </c>
      <c r="O265" s="155">
        <f>IFERROR(VLOOKUP(O$4,Flu!$R$4:$Z$16,5,FALSE),"")</f>
        <v>26</v>
      </c>
      <c r="P265" s="155">
        <f>IFERROR(VLOOKUP(P$4,Flu!$R$4:$Z$16,5,FALSE),"")</f>
        <v>39</v>
      </c>
      <c r="Z265" s="197" t="s">
        <v>345</v>
      </c>
      <c r="AA265" s="197"/>
      <c r="AB265" s="197"/>
      <c r="AC265" s="197"/>
    </row>
    <row r="266" spans="2:29" x14ac:dyDescent="0.35">
      <c r="B266" s="168"/>
      <c r="C266" s="1" t="s">
        <v>251</v>
      </c>
      <c r="D266" s="155">
        <f>IFERROR(VLOOKUP(D$4,Flu!$R$4:$Z$16,9,FALSE),"")</f>
        <v>56</v>
      </c>
      <c r="E266" s="155">
        <f>IFERROR(VLOOKUP(E$4,Flu!$R$4:$Z$16,9,FALSE),"")</f>
        <v>27</v>
      </c>
      <c r="F266" s="155">
        <f>IFERROR(VLOOKUP(F$4,Flu!$R$4:$Z$16,9,FALSE),"")</f>
        <v>29</v>
      </c>
      <c r="G266" s="155">
        <f>IFERROR(VLOOKUP(G$4,Flu!$R$4:$Z$16,9,FALSE),"")</f>
        <v>21</v>
      </c>
      <c r="H266" s="155">
        <f>IFERROR(VLOOKUP(H$4,Flu!$R$4:$Z$16,9,FALSE),"")</f>
        <v>27</v>
      </c>
      <c r="I266" s="155">
        <f>IFERROR(VLOOKUP(I$4,Flu!$R$4:$Z$16,9,FALSE),"")</f>
        <v>35</v>
      </c>
      <c r="J266" s="155">
        <f>IFERROR(VLOOKUP(J$4,Flu!$R$4:$Z$16,9,FALSE),"")</f>
        <v>37</v>
      </c>
      <c r="K266" s="155">
        <f>IFERROR(VLOOKUP(K$4,Flu!$R$4:$Z$16,9,FALSE),"")</f>
        <v>39</v>
      </c>
      <c r="L266" s="155">
        <f>IFERROR(VLOOKUP(L$4,Flu!$R$4:$Z$16,9,FALSE),"")</f>
        <v>37</v>
      </c>
      <c r="M266" s="155">
        <f>IFERROR(VLOOKUP(M$4,Flu!$R$4:$Z$16,9,FALSE),"")</f>
        <v>57</v>
      </c>
      <c r="N266" s="155">
        <f>IFERROR(VLOOKUP(N$4,Flu!$R$4:$Z$16,9,FALSE),"")</f>
        <v>62</v>
      </c>
      <c r="O266" s="155">
        <f>IFERROR(VLOOKUP(O$4,Flu!$R$4:$Z$16,9,FALSE),"")</f>
        <v>76</v>
      </c>
      <c r="P266" s="155">
        <f>IFERROR(VLOOKUP(P$4,Flu!$R$4:$Z$16,9,FALSE),"")</f>
        <v>54</v>
      </c>
      <c r="Z266" s="197"/>
      <c r="AA266" s="197"/>
      <c r="AB266" s="197"/>
      <c r="AC266" s="197"/>
    </row>
    <row r="267" spans="2:29" x14ac:dyDescent="0.35">
      <c r="B267" s="168"/>
      <c r="C267" s="1" t="s">
        <v>217</v>
      </c>
      <c r="D267" s="155">
        <f>IFERROR(VLOOKUP(D$4,Flu!$R$4:$Z$16,6,FALSE),"")</f>
        <v>71</v>
      </c>
      <c r="E267" s="155">
        <f>IFERROR(VLOOKUP(E$4,Flu!$R$4:$Z$16,6,FALSE),"")</f>
        <v>34</v>
      </c>
      <c r="F267" s="155">
        <f>IFERROR(VLOOKUP(F$4,Flu!$R$4:$Z$16,6,FALSE),"")</f>
        <v>21</v>
      </c>
      <c r="G267" s="155">
        <f>IFERROR(VLOOKUP(G$4,Flu!$R$4:$Z$16,6,FALSE),"")</f>
        <v>42</v>
      </c>
      <c r="H267" s="155">
        <f>IFERROR(VLOOKUP(H$4,Flu!$R$4:$Z$16,6,FALSE),"")</f>
        <v>55</v>
      </c>
      <c r="I267" s="155">
        <f>IFERROR(VLOOKUP(I$4,Flu!$R$4:$Z$16,6,FALSE),"")</f>
        <v>41</v>
      </c>
      <c r="J267" s="155">
        <f>IFERROR(VLOOKUP(J$4,Flu!$R$4:$Z$16,6,FALSE),"")</f>
        <v>25</v>
      </c>
      <c r="K267" s="155">
        <f>IFERROR(VLOOKUP(K$4,Flu!$R$4:$Z$16,6,FALSE),"")</f>
        <v>19</v>
      </c>
      <c r="L267" s="155">
        <f>IFERROR(VLOOKUP(L$4,Flu!$R$4:$Z$16,6,FALSE),"")</f>
        <v>27</v>
      </c>
      <c r="M267" s="155">
        <f>IFERROR(VLOOKUP(M$4,Flu!$R$4:$Z$16,6,FALSE),"")</f>
        <v>19</v>
      </c>
      <c r="N267" s="155">
        <f>IFERROR(VLOOKUP(N$4,Flu!$R$4:$Z$16,6,FALSE),"")</f>
        <v>7</v>
      </c>
      <c r="O267" s="155">
        <f>IFERROR(VLOOKUP(O$4,Flu!$R$4:$Z$16,6,FALSE),"")</f>
        <v>18</v>
      </c>
      <c r="P267" s="155">
        <f>IFERROR(VLOOKUP(P$4,Flu!$R$4:$Z$16,6,FALSE),"")</f>
        <v>15</v>
      </c>
      <c r="Z267" s="197"/>
      <c r="AA267" s="197"/>
      <c r="AB267" s="197"/>
      <c r="AC267" s="197"/>
    </row>
    <row r="268" spans="2:29" x14ac:dyDescent="0.35">
      <c r="B268" s="168"/>
      <c r="C268" s="11" t="s">
        <v>222</v>
      </c>
      <c r="D268" s="155">
        <f>IFERROR(VLOOKUP(D$4,Flu!$R$4:$Z$16,7,FALSE),"")</f>
        <v>30</v>
      </c>
      <c r="E268" s="155">
        <f>IFERROR(VLOOKUP(E$4,Flu!$R$4:$Z$16,7,FALSE),"")</f>
        <v>16</v>
      </c>
      <c r="F268" s="155">
        <f>IFERROR(VLOOKUP(F$4,Flu!$R$4:$Z$16,7,FALSE),"")</f>
        <v>34</v>
      </c>
      <c r="G268" s="155">
        <f>IFERROR(VLOOKUP(G$4,Flu!$R$4:$Z$16,7,FALSE),"")</f>
        <v>36</v>
      </c>
      <c r="H268" s="155">
        <f>IFERROR(VLOOKUP(H$4,Flu!$R$4:$Z$16,7,FALSE),"")</f>
        <v>39</v>
      </c>
      <c r="I268" s="155">
        <f>IFERROR(VLOOKUP(I$4,Flu!$R$4:$Z$16,7,FALSE),"")</f>
        <v>37</v>
      </c>
      <c r="J268" s="155">
        <f>IFERROR(VLOOKUP(J$4,Flu!$R$4:$Z$16,7,FALSE),"")</f>
        <v>8</v>
      </c>
      <c r="K268" s="155">
        <f>IFERROR(VLOOKUP(K$4,Flu!$R$4:$Z$16,7,FALSE),"")</f>
        <v>2</v>
      </c>
      <c r="L268" s="155">
        <f>IFERROR(VLOOKUP(L$4,Flu!$R$4:$Z$16,7,FALSE),"")</f>
        <v>0</v>
      </c>
      <c r="M268" s="155">
        <f>IFERROR(VLOOKUP(M$4,Flu!$R$4:$Z$16,7,FALSE),"")</f>
        <v>5</v>
      </c>
      <c r="N268" s="155">
        <f>IFERROR(VLOOKUP(N$4,Flu!$R$4:$Z$16,7,FALSE),"")</f>
        <v>3</v>
      </c>
      <c r="O268" s="155">
        <f>IFERROR(VLOOKUP(O$4,Flu!$R$4:$Z$16,7,FALSE),"")</f>
        <v>5</v>
      </c>
      <c r="P268" s="155">
        <f>IFERROR(VLOOKUP(P$4,Flu!$R$4:$Z$16,7,FALSE),"")</f>
        <v>10</v>
      </c>
      <c r="Z268" s="197"/>
      <c r="AA268" s="197"/>
      <c r="AB268" s="197"/>
      <c r="AC268" s="197"/>
    </row>
    <row r="269" spans="2:29" x14ac:dyDescent="0.35">
      <c r="B269" s="168"/>
    </row>
    <row r="270" spans="2:29" x14ac:dyDescent="0.35">
      <c r="B270" s="168"/>
      <c r="C270" s="12" t="s">
        <v>329</v>
      </c>
      <c r="D270" s="130">
        <v>399.57142857142856</v>
      </c>
      <c r="E270" s="130">
        <v>380.42857142857144</v>
      </c>
      <c r="F270" s="130">
        <v>377.14285714285717</v>
      </c>
      <c r="G270" s="130">
        <v>427.71428571428572</v>
      </c>
      <c r="H270" s="130">
        <v>457.57142857142856</v>
      </c>
      <c r="I270" s="130">
        <v>439.42857142857144</v>
      </c>
      <c r="J270" s="130">
        <v>447.42857142857144</v>
      </c>
      <c r="K270" s="130">
        <v>448.42857142857144</v>
      </c>
      <c r="L270" s="130">
        <v>438.57142857142856</v>
      </c>
      <c r="M270" s="130">
        <v>459</v>
      </c>
      <c r="N270" s="130">
        <v>443.14285714285717</v>
      </c>
      <c r="O270" s="130">
        <v>459.14285714285717</v>
      </c>
      <c r="P270" s="130">
        <v>470.85714285714283</v>
      </c>
    </row>
    <row r="271" spans="2:29" x14ac:dyDescent="0.35">
      <c r="B271" s="168"/>
      <c r="C271" s="1"/>
    </row>
    <row r="272" spans="2:29" ht="14.5" customHeight="1" x14ac:dyDescent="0.35">
      <c r="B272" s="168"/>
      <c r="C272" s="16" t="s">
        <v>295</v>
      </c>
      <c r="D272" s="62">
        <f>IFERROR(VLOOKUP(D$4,Flu!$AO$4:$AW$16,2,FALSE),"")</f>
        <v>18</v>
      </c>
      <c r="E272" s="62">
        <f>IFERROR(VLOOKUP(E$4,Flu!$AO$4:$AW$16,2,FALSE),"")</f>
        <v>5</v>
      </c>
      <c r="F272" s="62">
        <f>IFERROR(VLOOKUP(F$4,Flu!$AO$4:$AW$16,2,FALSE),"")</f>
        <v>17</v>
      </c>
      <c r="G272" s="62">
        <f>IFERROR(VLOOKUP(G$4,Flu!$AO$4:$AW$16,2,FALSE),"")</f>
        <v>13</v>
      </c>
      <c r="H272" s="62">
        <f>IFERROR(VLOOKUP(H$4,Flu!$AO$4:$AW$16,2,FALSE),"")</f>
        <v>11</v>
      </c>
      <c r="I272" s="62">
        <f>IFERROR(VLOOKUP(I$4,Flu!$AO$4:$AW$16,2,FALSE),"")</f>
        <v>19</v>
      </c>
      <c r="J272" s="62">
        <f>IFERROR(VLOOKUP(J$4,Flu!$AO$4:$AW$16,2,FALSE),"")</f>
        <v>29</v>
      </c>
      <c r="K272" s="62">
        <f>IFERROR(VLOOKUP(K$4,Flu!$AO$4:$AW$16,2,FALSE),"")</f>
        <v>12</v>
      </c>
      <c r="L272" s="62">
        <f>IFERROR(VLOOKUP(L$4,Flu!$AO$4:$AW$16,2,FALSE),"")</f>
        <v>9</v>
      </c>
      <c r="M272" s="62">
        <f>IFERROR(VLOOKUP(M$4,Flu!$AO$4:$AW$16,2,FALSE),"")</f>
        <v>15</v>
      </c>
      <c r="N272" s="62">
        <f>IFERROR(VLOOKUP(N$4,Flu!$AO$4:$AW$16,2,FALSE),"")</f>
        <v>16</v>
      </c>
      <c r="O272" s="62">
        <f>IFERROR(VLOOKUP(O$4,Flu!$AO$4:$AW$16,2,FALSE),"")</f>
        <v>14</v>
      </c>
      <c r="P272" s="62">
        <f>IFERROR(VLOOKUP(P$4,Flu!$AO$4:$AW$16,2,FALSE),"")</f>
        <v>17</v>
      </c>
    </row>
    <row r="273" spans="2:29" x14ac:dyDescent="0.35">
      <c r="B273" s="168"/>
      <c r="C273" s="1" t="s">
        <v>1</v>
      </c>
      <c r="D273" s="155">
        <f>IFERROR(VLOOKUP(D$4,Flu!$AO$4:$AW$16,3,FALSE),"")</f>
        <v>3</v>
      </c>
      <c r="E273" s="155">
        <f>IFERROR(VLOOKUP(E$4,Flu!$AO$4:$AW$16,3,FALSE),"")</f>
        <v>0</v>
      </c>
      <c r="F273" s="155">
        <f>IFERROR(VLOOKUP(F$4,Flu!$AO$4:$AW$16,3,FALSE),"")</f>
        <v>0</v>
      </c>
      <c r="G273" s="155">
        <f>IFERROR(VLOOKUP(G$4,Flu!$AO$4:$AW$16,3,FALSE),"")</f>
        <v>5</v>
      </c>
      <c r="H273" s="155">
        <f>IFERROR(VLOOKUP(H$4,Flu!$AO$4:$AW$16,3,FALSE),"")</f>
        <v>5</v>
      </c>
      <c r="I273" s="155">
        <f>IFERROR(VLOOKUP(I$4,Flu!$AO$4:$AW$16,3,FALSE),"")</f>
        <v>4</v>
      </c>
      <c r="J273" s="155">
        <f>IFERROR(VLOOKUP(J$4,Flu!$AO$4:$AW$16,3,FALSE),"")</f>
        <v>11</v>
      </c>
      <c r="K273" s="155">
        <f>IFERROR(VLOOKUP(K$4,Flu!$AO$4:$AW$16,3,FALSE),"")</f>
        <v>7</v>
      </c>
      <c r="L273" s="155">
        <f>IFERROR(VLOOKUP(L$4,Flu!$AO$4:$AW$16,3,FALSE),"")</f>
        <v>7</v>
      </c>
      <c r="M273" s="155">
        <f>IFERROR(VLOOKUP(M$4,Flu!$AO$4:$AW$16,3,FALSE),"")</f>
        <v>7</v>
      </c>
      <c r="N273" s="155">
        <f>IFERROR(VLOOKUP(N$4,Flu!$AO$4:$AW$16,3,FALSE),"")</f>
        <v>7</v>
      </c>
      <c r="O273" s="155">
        <f>IFERROR(VLOOKUP(O$4,Flu!$AO$4:$AW$16,3,FALSE),"")</f>
        <v>11</v>
      </c>
      <c r="P273" s="155">
        <f>IFERROR(VLOOKUP(P$4,Flu!$AO$4:$AW$16,3,FALSE),"")</f>
        <v>12</v>
      </c>
    </row>
    <row r="274" spans="2:29" x14ac:dyDescent="0.35">
      <c r="B274" s="168"/>
      <c r="C274" s="1" t="s">
        <v>220</v>
      </c>
      <c r="D274" s="155">
        <f>IFERROR(VLOOKUP(D$4,Flu!$AO$4:$AW$16,4,FALSE),"")</f>
        <v>4</v>
      </c>
      <c r="E274" s="155">
        <f>IFERROR(VLOOKUP(E$4,Flu!$AO$4:$AW$16,4,FALSE),"")</f>
        <v>2</v>
      </c>
      <c r="F274" s="155">
        <f>IFERROR(VLOOKUP(F$4,Flu!$AO$4:$AW$16,4,FALSE),"")</f>
        <v>7</v>
      </c>
      <c r="G274" s="155">
        <f>IFERROR(VLOOKUP(G$4,Flu!$AO$4:$AW$16,4,FALSE),"")</f>
        <v>0</v>
      </c>
      <c r="H274" s="155">
        <f>IFERROR(VLOOKUP(H$4,Flu!$AO$4:$AW$16,4,FALSE),"")</f>
        <v>1</v>
      </c>
      <c r="I274" s="155">
        <f>IFERROR(VLOOKUP(I$4,Flu!$AO$4:$AW$16,4,FALSE),"")</f>
        <v>0</v>
      </c>
      <c r="J274" s="155">
        <f>IFERROR(VLOOKUP(J$4,Flu!$AO$4:$AW$16,4,FALSE),"")</f>
        <v>2</v>
      </c>
      <c r="K274" s="155">
        <f>IFERROR(VLOOKUP(K$4,Flu!$AO$4:$AW$16,4,FALSE),"")</f>
        <v>0</v>
      </c>
      <c r="L274" s="155">
        <f>IFERROR(VLOOKUP(L$4,Flu!$AO$4:$AW$16,4,FALSE),"")</f>
        <v>0</v>
      </c>
      <c r="M274" s="155">
        <f>IFERROR(VLOOKUP(M$4,Flu!$AO$4:$AW$16,4,FALSE),"")</f>
        <v>2</v>
      </c>
      <c r="N274" s="155">
        <f>IFERROR(VLOOKUP(N$4,Flu!$AO$4:$AW$16,4,FALSE),"")</f>
        <v>8</v>
      </c>
      <c r="O274" s="155">
        <f>IFERROR(VLOOKUP(O$4,Flu!$AO$4:$AW$16,4,FALSE),"")</f>
        <v>1</v>
      </c>
      <c r="P274" s="155">
        <f>IFERROR(VLOOKUP(P$4,Flu!$AO$4:$AW$16,4,FALSE),"")</f>
        <v>3</v>
      </c>
    </row>
    <row r="275" spans="2:29" x14ac:dyDescent="0.35">
      <c r="B275" s="168"/>
      <c r="C275" s="1" t="s">
        <v>248</v>
      </c>
      <c r="D275" s="155">
        <f>IFERROR(VLOOKUP(D$4,Flu!$AO$4:$AW$16,8,FALSE),"")</f>
        <v>0</v>
      </c>
      <c r="E275" s="155">
        <f>IFERROR(VLOOKUP(E$4,Flu!$AO$4:$AW$16,8,FALSE),"")</f>
        <v>0</v>
      </c>
      <c r="F275" s="155">
        <f>IFERROR(VLOOKUP(F$4,Flu!$AO$4:$AW$16,8,FALSE),"")</f>
        <v>0</v>
      </c>
      <c r="G275" s="155">
        <f>IFERROR(VLOOKUP(G$4,Flu!$AO$4:$AW$16,8,FALSE),"")</f>
        <v>0</v>
      </c>
      <c r="H275" s="155">
        <f>IFERROR(VLOOKUP(H$4,Flu!$AO$4:$AW$16,8,FALSE),"")</f>
        <v>0</v>
      </c>
      <c r="I275" s="155">
        <f>IFERROR(VLOOKUP(I$4,Flu!$AO$4:$AW$16,8,FALSE),"")</f>
        <v>0</v>
      </c>
      <c r="J275" s="155">
        <f>IFERROR(VLOOKUP(J$4,Flu!$AO$4:$AW$16,8,FALSE),"")</f>
        <v>0</v>
      </c>
      <c r="K275" s="155">
        <f>IFERROR(VLOOKUP(K$4,Flu!$AO$4:$AW$16,8,FALSE),"")</f>
        <v>0</v>
      </c>
      <c r="L275" s="155">
        <f>IFERROR(VLOOKUP(L$4,Flu!$AO$4:$AW$16,8,FALSE),"")</f>
        <v>0</v>
      </c>
      <c r="M275" s="155">
        <f>IFERROR(VLOOKUP(M$4,Flu!$AO$4:$AW$16,8,FALSE),"")</f>
        <v>0</v>
      </c>
      <c r="N275" s="155">
        <f>IFERROR(VLOOKUP(N$4,Flu!$AO$4:$AW$16,8,FALSE),"")</f>
        <v>0</v>
      </c>
      <c r="O275" s="155">
        <f>IFERROR(VLOOKUP(O$4,Flu!$AO$4:$AW$16,8,FALSE),"")</f>
        <v>0</v>
      </c>
      <c r="P275" s="155">
        <f>IFERROR(VLOOKUP(P$4,Flu!$AO$4:$AW$16,8,FALSE),"")</f>
        <v>0</v>
      </c>
    </row>
    <row r="276" spans="2:29" x14ac:dyDescent="0.35">
      <c r="B276" s="168"/>
      <c r="C276" s="1" t="s">
        <v>249</v>
      </c>
      <c r="D276" s="155">
        <f>IFERROR(VLOOKUP(D$4,Flu!$AO$4:$AW$16,5,FALSE),"")</f>
        <v>9</v>
      </c>
      <c r="E276" s="155">
        <f>IFERROR(VLOOKUP(E$4,Flu!$AO$4:$AW$16,5,FALSE),"")</f>
        <v>1</v>
      </c>
      <c r="F276" s="155">
        <f>IFERROR(VLOOKUP(F$4,Flu!$AO$4:$AW$16,5,FALSE),"")</f>
        <v>0</v>
      </c>
      <c r="G276" s="155">
        <f>IFERROR(VLOOKUP(G$4,Flu!$AO$4:$AW$16,5,FALSE),"")</f>
        <v>0</v>
      </c>
      <c r="H276" s="155">
        <f>IFERROR(VLOOKUP(H$4,Flu!$AO$4:$AW$16,5,FALSE),"")</f>
        <v>0</v>
      </c>
      <c r="I276" s="155">
        <f>IFERROR(VLOOKUP(I$4,Flu!$AO$4:$AW$16,5,FALSE),"")</f>
        <v>1</v>
      </c>
      <c r="J276" s="155">
        <f>IFERROR(VLOOKUP(J$4,Flu!$AO$4:$AW$16,5,FALSE),"")</f>
        <v>1</v>
      </c>
      <c r="K276" s="155">
        <f>IFERROR(VLOOKUP(K$4,Flu!$AO$4:$AW$16,5,FALSE),"")</f>
        <v>0</v>
      </c>
      <c r="L276" s="155">
        <f>IFERROR(VLOOKUP(L$4,Flu!$AO$4:$AW$16,5,FALSE),"")</f>
        <v>0</v>
      </c>
      <c r="M276" s="155">
        <f>IFERROR(VLOOKUP(M$4,Flu!$AO$4:$AW$16,5,FALSE),"")</f>
        <v>0</v>
      </c>
      <c r="N276" s="155">
        <f>IFERROR(VLOOKUP(N$4,Flu!$AO$4:$AW$16,5,FALSE),"")</f>
        <v>0</v>
      </c>
      <c r="O276" s="155">
        <f>IFERROR(VLOOKUP(O$4,Flu!$AO$4:$AW$16,5,FALSE),"")</f>
        <v>0</v>
      </c>
      <c r="P276" s="155">
        <f>IFERROR(VLOOKUP(P$4,Flu!$AO$4:$AW$16,5,FALSE),"")</f>
        <v>0</v>
      </c>
    </row>
    <row r="277" spans="2:29" x14ac:dyDescent="0.35">
      <c r="B277" s="168"/>
      <c r="C277" s="1" t="s">
        <v>251</v>
      </c>
      <c r="D277" s="155">
        <f>IFERROR(VLOOKUP(D$4,Flu!$AO$4:$AW$16,9,FALSE),"")</f>
        <v>0</v>
      </c>
      <c r="E277" s="155">
        <f>IFERROR(VLOOKUP(E$4,Flu!$AO$4:$AW$16,9,FALSE),"")</f>
        <v>0</v>
      </c>
      <c r="F277" s="155">
        <f>IFERROR(VLOOKUP(F$4,Flu!$AO$4:$AW$16,9,FALSE),"")</f>
        <v>0</v>
      </c>
      <c r="G277" s="155">
        <f>IFERROR(VLOOKUP(G$4,Flu!$AO$4:$AW$16,9,FALSE),"")</f>
        <v>5</v>
      </c>
      <c r="H277" s="155">
        <f>IFERROR(VLOOKUP(H$4,Flu!$AO$4:$AW$16,9,FALSE),"")</f>
        <v>5</v>
      </c>
      <c r="I277" s="155">
        <f>IFERROR(VLOOKUP(I$4,Flu!$AO$4:$AW$16,9,FALSE),"")</f>
        <v>2</v>
      </c>
      <c r="J277" s="155">
        <f>IFERROR(VLOOKUP(J$4,Flu!$AO$4:$AW$16,9,FALSE),"")</f>
        <v>1</v>
      </c>
      <c r="K277" s="155">
        <f>IFERROR(VLOOKUP(K$4,Flu!$AO$4:$AW$16,9,FALSE),"")</f>
        <v>0</v>
      </c>
      <c r="L277" s="155">
        <f>IFERROR(VLOOKUP(L$4,Flu!$AO$4:$AW$16,9,FALSE),"")</f>
        <v>2</v>
      </c>
      <c r="M277" s="155">
        <f>IFERROR(VLOOKUP(M$4,Flu!$AO$4:$AW$16,9,FALSE),"")</f>
        <v>6</v>
      </c>
      <c r="N277" s="155">
        <f>IFERROR(VLOOKUP(N$4,Flu!$AO$4:$AW$16,9,FALSE),"")</f>
        <v>1</v>
      </c>
      <c r="O277" s="155">
        <f>IFERROR(VLOOKUP(O$4,Flu!$AO$4:$AW$16,9,FALSE),"")</f>
        <v>2</v>
      </c>
      <c r="P277" s="155">
        <f>IFERROR(VLOOKUP(P$4,Flu!$AO$4:$AW$16,9,FALSE),"")</f>
        <v>2</v>
      </c>
    </row>
    <row r="278" spans="2:29" x14ac:dyDescent="0.35">
      <c r="B278" s="168"/>
      <c r="C278" s="1" t="s">
        <v>217</v>
      </c>
      <c r="D278" s="155">
        <f>IFERROR(VLOOKUP(D$4,Flu!$AO$4:$AW$16,6,FALSE),"")</f>
        <v>0</v>
      </c>
      <c r="E278" s="155">
        <f>IFERROR(VLOOKUP(E$4,Flu!$AO$4:$AW$16,6,FALSE),"")</f>
        <v>0</v>
      </c>
      <c r="F278" s="155">
        <f>IFERROR(VLOOKUP(F$4,Flu!$AO$4:$AW$16,6,FALSE),"")</f>
        <v>8</v>
      </c>
      <c r="G278" s="155">
        <f>IFERROR(VLOOKUP(G$4,Flu!$AO$4:$AW$16,6,FALSE),"")</f>
        <v>3</v>
      </c>
      <c r="H278" s="155">
        <f>IFERROR(VLOOKUP(H$4,Flu!$AO$4:$AW$16,6,FALSE),"")</f>
        <v>0</v>
      </c>
      <c r="I278" s="155">
        <f>IFERROR(VLOOKUP(I$4,Flu!$AO$4:$AW$16,6,FALSE),"")</f>
        <v>9</v>
      </c>
      <c r="J278" s="155">
        <f>IFERROR(VLOOKUP(J$4,Flu!$AO$4:$AW$16,6,FALSE),"")</f>
        <v>7</v>
      </c>
      <c r="K278" s="155">
        <f>IFERROR(VLOOKUP(K$4,Flu!$AO$4:$AW$16,6,FALSE),"")</f>
        <v>5</v>
      </c>
      <c r="L278" s="155">
        <f>IFERROR(VLOOKUP(L$4,Flu!$AO$4:$AW$16,6,FALSE),"")</f>
        <v>0</v>
      </c>
      <c r="M278" s="155">
        <f>IFERROR(VLOOKUP(M$4,Flu!$AO$4:$AW$16,6,FALSE),"")</f>
        <v>0</v>
      </c>
      <c r="N278" s="155">
        <f>IFERROR(VLOOKUP(N$4,Flu!$AO$4:$AW$16,6,FALSE),"")</f>
        <v>0</v>
      </c>
      <c r="O278" s="155">
        <f>IFERROR(VLOOKUP(O$4,Flu!$AO$4:$AW$16,6,FALSE),"")</f>
        <v>0</v>
      </c>
      <c r="P278" s="155">
        <f>IFERROR(VLOOKUP(P$4,Flu!$AO$4:$AW$16,6,FALSE),"")</f>
        <v>0</v>
      </c>
    </row>
    <row r="279" spans="2:29" x14ac:dyDescent="0.35">
      <c r="B279" s="168"/>
      <c r="C279" s="11" t="s">
        <v>222</v>
      </c>
      <c r="D279" s="155">
        <f>IFERROR(VLOOKUP(D$4,Flu!$AO$4:$AW$16,7,FALSE),"")</f>
        <v>2</v>
      </c>
      <c r="E279" s="155">
        <f>IFERROR(VLOOKUP(E$4,Flu!$AO$4:$AW$16,7,FALSE),"")</f>
        <v>2</v>
      </c>
      <c r="F279" s="155">
        <f>IFERROR(VLOOKUP(F$4,Flu!$AO$4:$AW$16,7,FALSE),"")</f>
        <v>2</v>
      </c>
      <c r="G279" s="155">
        <f>IFERROR(VLOOKUP(G$4,Flu!$AO$4:$AW$16,7,FALSE),"")</f>
        <v>0</v>
      </c>
      <c r="H279" s="155">
        <f>IFERROR(VLOOKUP(H$4,Flu!$AO$4:$AW$16,7,FALSE),"")</f>
        <v>0</v>
      </c>
      <c r="I279" s="155">
        <f>IFERROR(VLOOKUP(I$4,Flu!$AO$4:$AW$16,7,FALSE),"")</f>
        <v>3</v>
      </c>
      <c r="J279" s="155">
        <f>IFERROR(VLOOKUP(J$4,Flu!$AO$4:$AW$16,7,FALSE),"")</f>
        <v>7</v>
      </c>
      <c r="K279" s="155">
        <f>IFERROR(VLOOKUP(K$4,Flu!$AO$4:$AW$16,7,FALSE),"")</f>
        <v>0</v>
      </c>
      <c r="L279" s="155">
        <f>IFERROR(VLOOKUP(L$4,Flu!$AO$4:$AW$16,7,FALSE),"")</f>
        <v>0</v>
      </c>
      <c r="M279" s="155">
        <f>IFERROR(VLOOKUP(M$4,Flu!$AO$4:$AW$16,7,FALSE),"")</f>
        <v>0</v>
      </c>
      <c r="N279" s="155">
        <f>IFERROR(VLOOKUP(N$4,Flu!$AO$4:$AW$16,7,FALSE),"")</f>
        <v>0</v>
      </c>
      <c r="O279" s="155">
        <f>IFERROR(VLOOKUP(O$4,Flu!$AO$4:$AW$16,7,FALSE),"")</f>
        <v>0</v>
      </c>
      <c r="P279" s="155">
        <f>IFERROR(VLOOKUP(P$4,Flu!$AO$4:$AW$16,7,FALSE),"")</f>
        <v>10</v>
      </c>
    </row>
    <row r="280" spans="2:29" x14ac:dyDescent="0.35">
      <c r="B280" s="168"/>
    </row>
    <row r="283" spans="2:29" ht="14.5" customHeight="1" x14ac:dyDescent="0.35">
      <c r="B283" s="168" t="s">
        <v>328</v>
      </c>
      <c r="C283" s="12" t="s">
        <v>330</v>
      </c>
      <c r="Z283" s="169" t="s">
        <v>344</v>
      </c>
      <c r="AA283" s="169"/>
      <c r="AB283" s="169"/>
      <c r="AC283" s="169"/>
    </row>
    <row r="284" spans="2:29" x14ac:dyDescent="0.35">
      <c r="B284" s="168"/>
      <c r="C284" s="12"/>
      <c r="Z284" s="169"/>
      <c r="AA284" s="169"/>
      <c r="AB284" s="169"/>
      <c r="AC284" s="169"/>
    </row>
    <row r="285" spans="2:29" x14ac:dyDescent="0.35">
      <c r="B285" s="168"/>
      <c r="C285" s="16" t="s">
        <v>295</v>
      </c>
      <c r="D285" s="62">
        <f>IFERROR(VLOOKUP(D$4,RSV!$R$4:$Z$16,2,FALSE),"")</f>
        <v>171</v>
      </c>
      <c r="E285" s="62">
        <f>IFERROR(VLOOKUP(E$4,RSV!$R$4:$Z$16,2,FALSE),"")</f>
        <v>162</v>
      </c>
      <c r="F285" s="62">
        <f>IFERROR(VLOOKUP(F$4,RSV!$R$4:$Z$16,2,FALSE),"")</f>
        <v>173</v>
      </c>
      <c r="G285" s="62">
        <f>IFERROR(VLOOKUP(G$4,RSV!$R$4:$Z$16,2,FALSE),"")</f>
        <v>93</v>
      </c>
      <c r="H285" s="62">
        <f>IFERROR(VLOOKUP(H$4,RSV!$R$4:$Z$16,2,FALSE),"")</f>
        <v>148</v>
      </c>
      <c r="I285" s="62">
        <f>IFERROR(VLOOKUP(I$4,RSV!$R$4:$Z$16,2,FALSE),"")</f>
        <v>86</v>
      </c>
      <c r="J285" s="62">
        <f>IFERROR(VLOOKUP(J$4,RSV!$R$4:$Z$16,2,FALSE),"")</f>
        <v>59</v>
      </c>
      <c r="K285" s="62">
        <f>IFERROR(VLOOKUP(K$4,RSV!$R$4:$Z$16,2,FALSE),"")</f>
        <v>30</v>
      </c>
      <c r="L285" s="62">
        <f>IFERROR(VLOOKUP(L$4,RSV!$R$4:$Z$16,2,FALSE),"")</f>
        <v>53</v>
      </c>
      <c r="M285" s="62">
        <f>IFERROR(VLOOKUP(M$4,RSV!$R$4:$Z$16,2,FALSE),"")</f>
        <v>21</v>
      </c>
      <c r="N285" s="62">
        <f>IFERROR(VLOOKUP(N$4,RSV!$R$4:$Z$16,2,FALSE),"")</f>
        <v>36</v>
      </c>
      <c r="O285" s="62">
        <f>IFERROR(VLOOKUP(O$4,RSV!$R$4:$Z$16,2,FALSE),"")</f>
        <v>58</v>
      </c>
      <c r="P285" s="62">
        <f>IFERROR(VLOOKUP(P$4,RSV!$R$4:$Z$16,2,FALSE),"")</f>
        <v>42</v>
      </c>
      <c r="Z285" s="169"/>
      <c r="AA285" s="169"/>
      <c r="AB285" s="169"/>
      <c r="AC285" s="169"/>
    </row>
    <row r="286" spans="2:29" x14ac:dyDescent="0.35">
      <c r="B286" s="168"/>
      <c r="C286" s="1" t="s">
        <v>1</v>
      </c>
      <c r="D286" s="155">
        <f>IFERROR(VLOOKUP(D$4,RSV!$R$4:$Z$16,3,FALSE),"")</f>
        <v>0</v>
      </c>
      <c r="E286" s="155">
        <f>IFERROR(VLOOKUP(E$4,RSV!$R$4:$Z$16,3,FALSE),"")</f>
        <v>9</v>
      </c>
      <c r="F286" s="155">
        <f>IFERROR(VLOOKUP(F$4,RSV!$R$4:$Z$16,3,FALSE),"")</f>
        <v>14</v>
      </c>
      <c r="G286" s="155">
        <f>IFERROR(VLOOKUP(G$4,RSV!$R$4:$Z$16,3,FALSE),"")</f>
        <v>1</v>
      </c>
      <c r="H286" s="155">
        <f>IFERROR(VLOOKUP(H$4,RSV!$R$4:$Z$16,3,FALSE),"")</f>
        <v>2</v>
      </c>
      <c r="I286" s="155">
        <f>IFERROR(VLOOKUP(I$4,RSV!$R$4:$Z$16,3,FALSE),"")</f>
        <v>0</v>
      </c>
      <c r="J286" s="155">
        <f>IFERROR(VLOOKUP(J$4,RSV!$R$4:$Z$16,3,FALSE),"")</f>
        <v>0</v>
      </c>
      <c r="K286" s="155">
        <f>IFERROR(VLOOKUP(K$4,RSV!$R$4:$Z$16,3,FALSE),"")</f>
        <v>0</v>
      </c>
      <c r="L286" s="155">
        <f>IFERROR(VLOOKUP(L$4,RSV!$R$4:$Z$16,3,FALSE),"")</f>
        <v>19</v>
      </c>
      <c r="M286" s="155">
        <f>IFERROR(VLOOKUP(M$4,RSV!$R$4:$Z$16,3,FALSE),"")</f>
        <v>0</v>
      </c>
      <c r="N286" s="155">
        <f>IFERROR(VLOOKUP(N$4,RSV!$R$4:$Z$16,3,FALSE),"")</f>
        <v>8</v>
      </c>
      <c r="O286" s="155">
        <f>IFERROR(VLOOKUP(O$4,RSV!$R$4:$Z$16,3,FALSE),"")</f>
        <v>5</v>
      </c>
      <c r="P286" s="155">
        <f>IFERROR(VLOOKUP(P$4,RSV!$R$4:$Z$16,3,FALSE),"")</f>
        <v>0</v>
      </c>
      <c r="Z286" s="169"/>
      <c r="AA286" s="169"/>
      <c r="AB286" s="169"/>
      <c r="AC286" s="169"/>
    </row>
    <row r="287" spans="2:29" x14ac:dyDescent="0.35">
      <c r="B287" s="168"/>
      <c r="C287" s="1" t="s">
        <v>220</v>
      </c>
      <c r="D287" s="155">
        <f>IFERROR(VLOOKUP(D$4,RSV!$R$4:$Z$16,4,FALSE),"")</f>
        <v>34</v>
      </c>
      <c r="E287" s="155">
        <f>IFERROR(VLOOKUP(E$4,RSV!$R$4:$Z$16,4,FALSE),"")</f>
        <v>14</v>
      </c>
      <c r="F287" s="155">
        <f>IFERROR(VLOOKUP(F$4,RSV!$R$4:$Z$16,4,FALSE),"")</f>
        <v>7</v>
      </c>
      <c r="G287" s="155">
        <f>IFERROR(VLOOKUP(G$4,RSV!$R$4:$Z$16,4,FALSE),"")</f>
        <v>5</v>
      </c>
      <c r="H287" s="155">
        <f>IFERROR(VLOOKUP(H$4,RSV!$R$4:$Z$16,4,FALSE),"")</f>
        <v>27</v>
      </c>
      <c r="I287" s="155">
        <f>IFERROR(VLOOKUP(I$4,RSV!$R$4:$Z$16,4,FALSE),"")</f>
        <v>10</v>
      </c>
      <c r="J287" s="155">
        <f>IFERROR(VLOOKUP(J$4,RSV!$R$4:$Z$16,4,FALSE),"")</f>
        <v>8</v>
      </c>
      <c r="K287" s="155">
        <f>IFERROR(VLOOKUP(K$4,RSV!$R$4:$Z$16,4,FALSE),"")</f>
        <v>4</v>
      </c>
      <c r="L287" s="155">
        <f>IFERROR(VLOOKUP(L$4,RSV!$R$4:$Z$16,4,FALSE),"")</f>
        <v>3</v>
      </c>
      <c r="M287" s="155">
        <f>IFERROR(VLOOKUP(M$4,RSV!$R$4:$Z$16,4,FALSE),"")</f>
        <v>1</v>
      </c>
      <c r="N287" s="155">
        <f>IFERROR(VLOOKUP(N$4,RSV!$R$4:$Z$16,4,FALSE),"")</f>
        <v>1</v>
      </c>
      <c r="O287" s="155">
        <f>IFERROR(VLOOKUP(O$4,RSV!$R$4:$Z$16,4,FALSE),"")</f>
        <v>0</v>
      </c>
      <c r="P287" s="155">
        <f>IFERROR(VLOOKUP(P$4,RSV!$R$4:$Z$16,4,FALSE),"")</f>
        <v>5</v>
      </c>
      <c r="Z287" s="169"/>
      <c r="AA287" s="169"/>
      <c r="AB287" s="169"/>
      <c r="AC287" s="169"/>
    </row>
    <row r="288" spans="2:29" x14ac:dyDescent="0.35">
      <c r="B288" s="168"/>
      <c r="C288" s="1" t="s">
        <v>248</v>
      </c>
      <c r="D288" s="155">
        <f>IFERROR(VLOOKUP(D$4,RSV!$R$4:$Z$16,8,FALSE),"")</f>
        <v>8</v>
      </c>
      <c r="E288" s="155">
        <f>IFERROR(VLOOKUP(E$4,RSV!$R$4:$Z$16,8,FALSE),"")</f>
        <v>7</v>
      </c>
      <c r="F288" s="155">
        <f>IFERROR(VLOOKUP(F$4,RSV!$R$4:$Z$16,8,FALSE),"")</f>
        <v>17</v>
      </c>
      <c r="G288" s="155">
        <f>IFERROR(VLOOKUP(G$4,RSV!$R$4:$Z$16,8,FALSE),"")</f>
        <v>2</v>
      </c>
      <c r="H288" s="155">
        <f>IFERROR(VLOOKUP(H$4,RSV!$R$4:$Z$16,8,FALSE),"")</f>
        <v>9</v>
      </c>
      <c r="I288" s="155">
        <f>IFERROR(VLOOKUP(I$4,RSV!$R$4:$Z$16,8,FALSE),"")</f>
        <v>0</v>
      </c>
      <c r="J288" s="155">
        <f>IFERROR(VLOOKUP(J$4,RSV!$R$4:$Z$16,8,FALSE),"")</f>
        <v>6</v>
      </c>
      <c r="K288" s="155">
        <f>IFERROR(VLOOKUP(K$4,RSV!$R$4:$Z$16,8,FALSE),"")</f>
        <v>0</v>
      </c>
      <c r="L288" s="155">
        <f>IFERROR(VLOOKUP(L$4,RSV!$R$4:$Z$16,8,FALSE),"")</f>
        <v>1</v>
      </c>
      <c r="M288" s="155">
        <f>IFERROR(VLOOKUP(M$4,RSV!$R$4:$Z$16,8,FALSE),"")</f>
        <v>0</v>
      </c>
      <c r="N288" s="155">
        <f>IFERROR(VLOOKUP(N$4,RSV!$R$4:$Z$16,8,FALSE),"")</f>
        <v>1</v>
      </c>
      <c r="O288" s="155">
        <f>IFERROR(VLOOKUP(O$4,RSV!$R$4:$Z$16,8,FALSE),"")</f>
        <v>1</v>
      </c>
      <c r="P288" s="155">
        <f>IFERROR(VLOOKUP(P$4,RSV!$R$4:$Z$16,8,FALSE),"")</f>
        <v>5</v>
      </c>
      <c r="Z288" s="169"/>
      <c r="AA288" s="169"/>
      <c r="AB288" s="169"/>
      <c r="AC288" s="169"/>
    </row>
    <row r="289" spans="2:29" x14ac:dyDescent="0.35">
      <c r="B289" s="168"/>
      <c r="C289" s="1" t="s">
        <v>249</v>
      </c>
      <c r="D289" s="155">
        <f>IFERROR(VLOOKUP(D$4,RSV!$R$4:$Z$16,5,FALSE),"")</f>
        <v>7</v>
      </c>
      <c r="E289" s="155">
        <f>IFERROR(VLOOKUP(E$4,RSV!$R$4:$Z$16,5,FALSE),"")</f>
        <v>16</v>
      </c>
      <c r="F289" s="155">
        <f>IFERROR(VLOOKUP(F$4,RSV!$R$4:$Z$16,5,FALSE),"")</f>
        <v>15</v>
      </c>
      <c r="G289" s="155">
        <f>IFERROR(VLOOKUP(G$4,RSV!$R$4:$Z$16,5,FALSE),"")</f>
        <v>17</v>
      </c>
      <c r="H289" s="155">
        <f>IFERROR(VLOOKUP(H$4,RSV!$R$4:$Z$16,5,FALSE),"")</f>
        <v>21</v>
      </c>
      <c r="I289" s="155">
        <f>IFERROR(VLOOKUP(I$4,RSV!$R$4:$Z$16,5,FALSE),"")</f>
        <v>18</v>
      </c>
      <c r="J289" s="155">
        <f>IFERROR(VLOOKUP(J$4,RSV!$R$4:$Z$16,5,FALSE),"")</f>
        <v>6</v>
      </c>
      <c r="K289" s="155">
        <f>IFERROR(VLOOKUP(K$4,RSV!$R$4:$Z$16,5,FALSE),"")</f>
        <v>1</v>
      </c>
      <c r="L289" s="155">
        <f>IFERROR(VLOOKUP(L$4,RSV!$R$4:$Z$16,5,FALSE),"")</f>
        <v>5</v>
      </c>
      <c r="M289" s="155">
        <f>IFERROR(VLOOKUP(M$4,RSV!$R$4:$Z$16,5,FALSE),"")</f>
        <v>2</v>
      </c>
      <c r="N289" s="155">
        <f>IFERROR(VLOOKUP(N$4,RSV!$R$4:$Z$16,5,FALSE),"")</f>
        <v>6</v>
      </c>
      <c r="O289" s="155">
        <f>IFERROR(VLOOKUP(O$4,RSV!$R$4:$Z$16,5,FALSE),"")</f>
        <v>14</v>
      </c>
      <c r="P289" s="155">
        <f>IFERROR(VLOOKUP(P$4,RSV!$R$4:$Z$16,5,FALSE),"")</f>
        <v>11</v>
      </c>
      <c r="Z289" s="169"/>
      <c r="AA289" s="169"/>
      <c r="AB289" s="169"/>
      <c r="AC289" s="169"/>
    </row>
    <row r="290" spans="2:29" x14ac:dyDescent="0.35">
      <c r="B290" s="168"/>
      <c r="C290" s="1" t="s">
        <v>251</v>
      </c>
      <c r="D290" s="155">
        <f>IFERROR(VLOOKUP(D$4,RSV!$R$4:$Z$16,9,FALSE),"")</f>
        <v>17</v>
      </c>
      <c r="E290" s="155">
        <f>IFERROR(VLOOKUP(E$4,RSV!$R$4:$Z$16,9,FALSE),"")</f>
        <v>17</v>
      </c>
      <c r="F290" s="155">
        <f>IFERROR(VLOOKUP(F$4,RSV!$R$4:$Z$16,9,FALSE),"")</f>
        <v>23</v>
      </c>
      <c r="G290" s="155">
        <f>IFERROR(VLOOKUP(G$4,RSV!$R$4:$Z$16,9,FALSE),"")</f>
        <v>6</v>
      </c>
      <c r="H290" s="155">
        <f>IFERROR(VLOOKUP(H$4,RSV!$R$4:$Z$16,9,FALSE),"")</f>
        <v>36</v>
      </c>
      <c r="I290" s="155">
        <f>IFERROR(VLOOKUP(I$4,RSV!$R$4:$Z$16,9,FALSE),"")</f>
        <v>9</v>
      </c>
      <c r="J290" s="155">
        <f>IFERROR(VLOOKUP(J$4,RSV!$R$4:$Z$16,9,FALSE),"")</f>
        <v>7</v>
      </c>
      <c r="K290" s="155">
        <f>IFERROR(VLOOKUP(K$4,RSV!$R$4:$Z$16,9,FALSE),"")</f>
        <v>8</v>
      </c>
      <c r="L290" s="155">
        <f>IFERROR(VLOOKUP(L$4,RSV!$R$4:$Z$16,9,FALSE),"")</f>
        <v>5</v>
      </c>
      <c r="M290" s="155">
        <f>IFERROR(VLOOKUP(M$4,RSV!$R$4:$Z$16,9,FALSE),"")</f>
        <v>6</v>
      </c>
      <c r="N290" s="155">
        <f>IFERROR(VLOOKUP(N$4,RSV!$R$4:$Z$16,9,FALSE),"")</f>
        <v>6</v>
      </c>
      <c r="O290" s="155">
        <f>IFERROR(VLOOKUP(O$4,RSV!$R$4:$Z$16,9,FALSE),"")</f>
        <v>20</v>
      </c>
      <c r="P290" s="155">
        <f>IFERROR(VLOOKUP(P$4,RSV!$R$4:$Z$16,9,FALSE),"")</f>
        <v>11</v>
      </c>
      <c r="Z290" s="169"/>
      <c r="AA290" s="169"/>
      <c r="AB290" s="169"/>
      <c r="AC290" s="169"/>
    </row>
    <row r="291" spans="2:29" ht="14.5" customHeight="1" x14ac:dyDescent="0.35">
      <c r="B291" s="168"/>
      <c r="C291" s="1" t="s">
        <v>217</v>
      </c>
      <c r="D291" s="155">
        <f>IFERROR(VLOOKUP(D$4,RSV!$R$4:$Z$16,6,FALSE),"")</f>
        <v>58</v>
      </c>
      <c r="E291" s="155">
        <f>IFERROR(VLOOKUP(E$4,RSV!$R$4:$Z$16,6,FALSE),"")</f>
        <v>66</v>
      </c>
      <c r="F291" s="155">
        <f>IFERROR(VLOOKUP(F$4,RSV!$R$4:$Z$16,6,FALSE),"")</f>
        <v>61</v>
      </c>
      <c r="G291" s="155">
        <f>IFERROR(VLOOKUP(G$4,RSV!$R$4:$Z$16,6,FALSE),"")</f>
        <v>37</v>
      </c>
      <c r="H291" s="155">
        <f>IFERROR(VLOOKUP(H$4,RSV!$R$4:$Z$16,6,FALSE),"")</f>
        <v>12</v>
      </c>
      <c r="I291" s="155">
        <f>IFERROR(VLOOKUP(I$4,RSV!$R$4:$Z$16,6,FALSE),"")</f>
        <v>15</v>
      </c>
      <c r="J291" s="155">
        <f>IFERROR(VLOOKUP(J$4,RSV!$R$4:$Z$16,6,FALSE),"")</f>
        <v>14</v>
      </c>
      <c r="K291" s="155">
        <f>IFERROR(VLOOKUP(K$4,RSV!$R$4:$Z$16,6,FALSE),"")</f>
        <v>2</v>
      </c>
      <c r="L291" s="155">
        <f>IFERROR(VLOOKUP(L$4,RSV!$R$4:$Z$16,6,FALSE),"")</f>
        <v>7</v>
      </c>
      <c r="M291" s="155">
        <f>IFERROR(VLOOKUP(M$4,RSV!$R$4:$Z$16,6,FALSE),"")</f>
        <v>11</v>
      </c>
      <c r="N291" s="155">
        <f>IFERROR(VLOOKUP(N$4,RSV!$R$4:$Z$16,6,FALSE),"")</f>
        <v>8</v>
      </c>
      <c r="O291" s="155">
        <f>IFERROR(VLOOKUP(O$4,RSV!$R$4:$Z$16,6,FALSE),"")</f>
        <v>9</v>
      </c>
      <c r="P291" s="155">
        <f>IFERROR(VLOOKUP(P$4,RSV!$R$4:$Z$16,6,FALSE),"")</f>
        <v>7</v>
      </c>
      <c r="Z291" s="169"/>
      <c r="AA291" s="169"/>
      <c r="AB291" s="169"/>
      <c r="AC291" s="169"/>
    </row>
    <row r="292" spans="2:29" ht="14.5" customHeight="1" x14ac:dyDescent="0.35">
      <c r="B292" s="168"/>
      <c r="C292" s="11" t="s">
        <v>222</v>
      </c>
      <c r="D292" s="155">
        <f>IFERROR(VLOOKUP(D$4,RSV!$R$4:$Z$16,7,FALSE),"")</f>
        <v>47</v>
      </c>
      <c r="E292" s="155">
        <f>IFERROR(VLOOKUP(E$4,RSV!$R$4:$Z$16,7,FALSE),"")</f>
        <v>33</v>
      </c>
      <c r="F292" s="155">
        <f>IFERROR(VLOOKUP(F$4,RSV!$R$4:$Z$16,7,FALSE),"")</f>
        <v>36</v>
      </c>
      <c r="G292" s="155">
        <f>IFERROR(VLOOKUP(G$4,RSV!$R$4:$Z$16,7,FALSE),"")</f>
        <v>25</v>
      </c>
      <c r="H292" s="155">
        <f>IFERROR(VLOOKUP(H$4,RSV!$R$4:$Z$16,7,FALSE),"")</f>
        <v>41</v>
      </c>
      <c r="I292" s="155">
        <f>IFERROR(VLOOKUP(I$4,RSV!$R$4:$Z$16,7,FALSE),"")</f>
        <v>34</v>
      </c>
      <c r="J292" s="155">
        <f>IFERROR(VLOOKUP(J$4,RSV!$R$4:$Z$16,7,FALSE),"")</f>
        <v>18</v>
      </c>
      <c r="K292" s="155">
        <f>IFERROR(VLOOKUP(K$4,RSV!$R$4:$Z$16,7,FALSE),"")</f>
        <v>15</v>
      </c>
      <c r="L292" s="155">
        <f>IFERROR(VLOOKUP(L$4,RSV!$R$4:$Z$16,7,FALSE),"")</f>
        <v>13</v>
      </c>
      <c r="M292" s="155">
        <f>IFERROR(VLOOKUP(M$4,RSV!$R$4:$Z$16,7,FALSE),"")</f>
        <v>1</v>
      </c>
      <c r="N292" s="155">
        <f>IFERROR(VLOOKUP(N$4,RSV!$R$4:$Z$16,7,FALSE),"")</f>
        <v>6</v>
      </c>
      <c r="O292" s="155">
        <f>IFERROR(VLOOKUP(O$4,RSV!$R$4:$Z$16,7,FALSE),"")</f>
        <v>9</v>
      </c>
      <c r="P292" s="155">
        <f>IFERROR(VLOOKUP(P$4,RSV!$R$4:$Z$16,7,FALSE),"")</f>
        <v>3</v>
      </c>
      <c r="Z292" s="169"/>
      <c r="AA292" s="169"/>
      <c r="AB292" s="169"/>
      <c r="AC292" s="169"/>
    </row>
    <row r="293" spans="2:29" x14ac:dyDescent="0.35">
      <c r="B293" s="168"/>
      <c r="C293" s="11"/>
      <c r="D293" s="161"/>
      <c r="E293" s="161"/>
      <c r="F293" s="161"/>
      <c r="G293" s="161"/>
      <c r="H293" s="161"/>
      <c r="I293" s="161"/>
      <c r="J293" s="161"/>
      <c r="K293" s="161"/>
      <c r="L293" s="161"/>
      <c r="M293" s="161"/>
      <c r="N293" s="161"/>
      <c r="O293" s="161"/>
      <c r="P293" s="161"/>
      <c r="Q293" s="103"/>
      <c r="Z293" s="197" t="s">
        <v>343</v>
      </c>
      <c r="AA293" s="197"/>
      <c r="AB293" s="197"/>
      <c r="AC293" s="197"/>
    </row>
    <row r="294" spans="2:29" ht="14.5" customHeight="1" x14ac:dyDescent="0.35">
      <c r="B294" s="168"/>
      <c r="C294" s="12" t="s">
        <v>331</v>
      </c>
      <c r="Q294" s="103"/>
      <c r="Z294" s="197"/>
      <c r="AA294" s="197"/>
      <c r="AB294" s="197"/>
      <c r="AC294" s="197"/>
    </row>
    <row r="295" spans="2:29" x14ac:dyDescent="0.35">
      <c r="B295" s="168"/>
      <c r="C295" s="12"/>
      <c r="Q295" s="103"/>
      <c r="Z295" s="197"/>
      <c r="AA295" s="197"/>
      <c r="AB295" s="197"/>
      <c r="AC295" s="197"/>
    </row>
    <row r="296" spans="2:29" ht="14.5" customHeight="1" x14ac:dyDescent="0.35">
      <c r="B296" s="168"/>
      <c r="C296" s="16" t="s">
        <v>295</v>
      </c>
      <c r="D296" s="62">
        <f>IFERROR(VLOOKUP(D$4,RSV!$AO$4:$AW$16,2,FALSE),"")</f>
        <v>16</v>
      </c>
      <c r="E296" s="62">
        <f>IFERROR(VLOOKUP(E$4,RSV!$AO$4:$AW$16,2,FALSE),"")</f>
        <v>4</v>
      </c>
      <c r="F296" s="62">
        <f>IFERROR(VLOOKUP(F$4,RSV!$AO$4:$AW$16,2,FALSE),"")</f>
        <v>13</v>
      </c>
      <c r="G296" s="62">
        <f>IFERROR(VLOOKUP(G$4,RSV!$AO$4:$AW$16,2,FALSE),"")</f>
        <v>3</v>
      </c>
      <c r="H296" s="62">
        <f>IFERROR(VLOOKUP(H$4,RSV!$AO$4:$AW$16,2,FALSE),"")</f>
        <v>11</v>
      </c>
      <c r="I296" s="62">
        <f>IFERROR(VLOOKUP(I$4,RSV!$AO$4:$AW$16,2,FALSE),"")</f>
        <v>4</v>
      </c>
      <c r="J296" s="62">
        <f>IFERROR(VLOOKUP(J$4,RSV!$AO$4:$AW$16,2,FALSE),"")</f>
        <v>6</v>
      </c>
      <c r="K296" s="62">
        <f>IFERROR(VLOOKUP(K$4,RSV!$AO$4:$AW$16,2,FALSE),"")</f>
        <v>2</v>
      </c>
      <c r="L296" s="62">
        <f>IFERROR(VLOOKUP(L$4,RSV!$AO$4:$AW$16,2,FALSE),"")</f>
        <v>13</v>
      </c>
      <c r="M296" s="62">
        <f>IFERROR(VLOOKUP(M$4,RSV!$AO$4:$AW$16,2,FALSE),"")</f>
        <v>3</v>
      </c>
      <c r="N296" s="62">
        <f>IFERROR(VLOOKUP(N$4,RSV!$AO$4:$AW$16,2,FALSE),"")</f>
        <v>3</v>
      </c>
      <c r="O296" s="62">
        <f>IFERROR(VLOOKUP(O$4,RSV!$AO$4:$AW$16,2,FALSE),"")</f>
        <v>4</v>
      </c>
      <c r="P296" s="62">
        <f>IFERROR(VLOOKUP(P$4,RSV!$AO$4:$AW$16,2,FALSE),"")</f>
        <v>0</v>
      </c>
      <c r="Q296" s="103"/>
      <c r="Z296" s="197"/>
      <c r="AA296" s="197"/>
      <c r="AB296" s="197"/>
      <c r="AC296" s="197"/>
    </row>
    <row r="297" spans="2:29" x14ac:dyDescent="0.35">
      <c r="B297" s="168"/>
      <c r="C297" s="1" t="s">
        <v>1</v>
      </c>
      <c r="D297" s="155">
        <f>IFERROR(VLOOKUP(D$4,RSV!$AO$4:$AW$16,3,FALSE),"")</f>
        <v>0</v>
      </c>
      <c r="E297" s="155">
        <f>IFERROR(VLOOKUP(E$4,RSV!$AO$4:$AW$16,3,FALSE),"")</f>
        <v>0</v>
      </c>
      <c r="F297" s="155">
        <f>IFERROR(VLOOKUP(F$4,RSV!$AO$4:$AW$16,3,FALSE),"")</f>
        <v>0</v>
      </c>
      <c r="G297" s="155">
        <f>IFERROR(VLOOKUP(G$4,RSV!$AO$4:$AW$16,3,FALSE),"")</f>
        <v>0</v>
      </c>
      <c r="H297" s="155">
        <f>IFERROR(VLOOKUP(H$4,RSV!$AO$4:$AW$16,3,FALSE),"")</f>
        <v>0</v>
      </c>
      <c r="I297" s="155">
        <f>IFERROR(VLOOKUP(I$4,RSV!$AO$4:$AW$16,3,FALSE),"")</f>
        <v>0</v>
      </c>
      <c r="J297" s="155">
        <f>IFERROR(VLOOKUP(J$4,RSV!$AO$4:$AW$16,3,FALSE),"")</f>
        <v>0</v>
      </c>
      <c r="K297" s="155">
        <f>IFERROR(VLOOKUP(K$4,RSV!$AO$4:$AW$16,3,FALSE),"")</f>
        <v>0</v>
      </c>
      <c r="L297" s="155">
        <f>IFERROR(VLOOKUP(L$4,RSV!$AO$4:$AW$16,3,FALSE),"")</f>
        <v>11</v>
      </c>
      <c r="M297" s="155">
        <f>IFERROR(VLOOKUP(M$4,RSV!$AO$4:$AW$16,3,FALSE),"")</f>
        <v>0</v>
      </c>
      <c r="N297" s="155">
        <f>IFERROR(VLOOKUP(N$4,RSV!$AO$4:$AW$16,3,FALSE),"")</f>
        <v>0</v>
      </c>
      <c r="O297" s="155">
        <f>IFERROR(VLOOKUP(O$4,RSV!$AO$4:$AW$16,3,FALSE),"")</f>
        <v>0</v>
      </c>
      <c r="P297" s="155">
        <f>IFERROR(VLOOKUP(P$4,RSV!$AO$4:$AW$16,3,FALSE),"")</f>
        <v>0</v>
      </c>
      <c r="Q297" s="103"/>
      <c r="Z297" s="196"/>
      <c r="AA297" s="196"/>
      <c r="AB297" s="196"/>
      <c r="AC297" s="196"/>
    </row>
    <row r="298" spans="2:29" x14ac:dyDescent="0.35">
      <c r="B298" s="168"/>
      <c r="C298" s="1" t="s">
        <v>220</v>
      </c>
      <c r="D298" s="155">
        <f>IFERROR(VLOOKUP(D$4,RSV!$AO$4:$AW$16,4,FALSE),"")</f>
        <v>2</v>
      </c>
      <c r="E298" s="155">
        <f>IFERROR(VLOOKUP(E$4,RSV!$AO$4:$AW$16,4,FALSE),"")</f>
        <v>0</v>
      </c>
      <c r="F298" s="155">
        <f>IFERROR(VLOOKUP(F$4,RSV!$AO$4:$AW$16,4,FALSE),"")</f>
        <v>0</v>
      </c>
      <c r="G298" s="155">
        <f>IFERROR(VLOOKUP(G$4,RSV!$AO$4:$AW$16,4,FALSE),"")</f>
        <v>0</v>
      </c>
      <c r="H298" s="155">
        <f>IFERROR(VLOOKUP(H$4,RSV!$AO$4:$AW$16,4,FALSE),"")</f>
        <v>4</v>
      </c>
      <c r="I298" s="155">
        <f>IFERROR(VLOOKUP(I$4,RSV!$AO$4:$AW$16,4,FALSE),"")</f>
        <v>0</v>
      </c>
      <c r="J298" s="155">
        <f>IFERROR(VLOOKUP(J$4,RSV!$AO$4:$AW$16,4,FALSE),"")</f>
        <v>0</v>
      </c>
      <c r="K298" s="155">
        <f>IFERROR(VLOOKUP(K$4,RSV!$AO$4:$AW$16,4,FALSE),"")</f>
        <v>0</v>
      </c>
      <c r="L298" s="155">
        <f>IFERROR(VLOOKUP(L$4,RSV!$AO$4:$AW$16,4,FALSE),"")</f>
        <v>0</v>
      </c>
      <c r="M298" s="155">
        <f>IFERROR(VLOOKUP(M$4,RSV!$AO$4:$AW$16,4,FALSE),"")</f>
        <v>0</v>
      </c>
      <c r="N298" s="155">
        <f>IFERROR(VLOOKUP(N$4,RSV!$AO$4:$AW$16,4,FALSE),"")</f>
        <v>0</v>
      </c>
      <c r="O298" s="155">
        <f>IFERROR(VLOOKUP(O$4,RSV!$AO$4:$AW$16,4,FALSE),"")</f>
        <v>0</v>
      </c>
      <c r="P298" s="155">
        <f>IFERROR(VLOOKUP(P$4,RSV!$AO$4:$AW$16,4,FALSE),"")</f>
        <v>0</v>
      </c>
      <c r="Q298" s="103"/>
      <c r="Z298" s="196"/>
      <c r="AA298" s="196"/>
      <c r="AB298" s="196"/>
      <c r="AC298" s="196"/>
    </row>
    <row r="299" spans="2:29" x14ac:dyDescent="0.35">
      <c r="B299" s="168"/>
      <c r="C299" s="1" t="s">
        <v>248</v>
      </c>
      <c r="D299" s="155">
        <f>IFERROR(VLOOKUP(D$4,RSV!$AO$4:$AW$16,8,FALSE),"")</f>
        <v>0</v>
      </c>
      <c r="E299" s="155">
        <f>IFERROR(VLOOKUP(E$4,RSV!$AO$4:$AW$16,8,FALSE),"")</f>
        <v>0</v>
      </c>
      <c r="F299" s="155">
        <f>IFERROR(VLOOKUP(F$4,RSV!$AO$4:$AW$16,8,FALSE),"")</f>
        <v>0</v>
      </c>
      <c r="G299" s="155">
        <f>IFERROR(VLOOKUP(G$4,RSV!$AO$4:$AW$16,8,FALSE),"")</f>
        <v>0</v>
      </c>
      <c r="H299" s="155">
        <f>IFERROR(VLOOKUP(H$4,RSV!$AO$4:$AW$16,8,FALSE),"")</f>
        <v>0</v>
      </c>
      <c r="I299" s="155">
        <f>IFERROR(VLOOKUP(I$4,RSV!$AO$4:$AW$16,8,FALSE),"")</f>
        <v>0</v>
      </c>
      <c r="J299" s="155">
        <f>IFERROR(VLOOKUP(J$4,RSV!$AO$4:$AW$16,8,FALSE),"")</f>
        <v>6</v>
      </c>
      <c r="K299" s="155">
        <f>IFERROR(VLOOKUP(K$4,RSV!$AO$4:$AW$16,8,FALSE),"")</f>
        <v>0</v>
      </c>
      <c r="L299" s="155">
        <f>IFERROR(VLOOKUP(L$4,RSV!$AO$4:$AW$16,8,FALSE),"")</f>
        <v>0</v>
      </c>
      <c r="M299" s="155">
        <f>IFERROR(VLOOKUP(M$4,RSV!$AO$4:$AW$16,8,FALSE),"")</f>
        <v>0</v>
      </c>
      <c r="N299" s="155">
        <f>IFERROR(VLOOKUP(N$4,RSV!$AO$4:$AW$16,8,FALSE),"")</f>
        <v>0</v>
      </c>
      <c r="O299" s="155">
        <f>IFERROR(VLOOKUP(O$4,RSV!$AO$4:$AW$16,8,FALSE),"")</f>
        <v>0</v>
      </c>
      <c r="P299" s="155">
        <f>IFERROR(VLOOKUP(P$4,RSV!$AO$4:$AW$16,8,FALSE),"")</f>
        <v>0</v>
      </c>
      <c r="Q299" s="103"/>
      <c r="Z299" s="196"/>
      <c r="AA299" s="196"/>
      <c r="AB299" s="196"/>
      <c r="AC299" s="196"/>
    </row>
    <row r="300" spans="2:29" x14ac:dyDescent="0.35">
      <c r="B300" s="168"/>
      <c r="C300" s="1" t="s">
        <v>249</v>
      </c>
      <c r="D300" s="155">
        <f>IFERROR(VLOOKUP(D$4,RSV!$AO$4:$AW$16,5,FALSE),"")</f>
        <v>0</v>
      </c>
      <c r="E300" s="155">
        <f>IFERROR(VLOOKUP(E$4,RSV!$AO$4:$AW$16,5,FALSE),"")</f>
        <v>0</v>
      </c>
      <c r="F300" s="155">
        <f>IFERROR(VLOOKUP(F$4,RSV!$AO$4:$AW$16,5,FALSE),"")</f>
        <v>5</v>
      </c>
      <c r="G300" s="155">
        <f>IFERROR(VLOOKUP(G$4,RSV!$AO$4:$AW$16,5,FALSE),"")</f>
        <v>0</v>
      </c>
      <c r="H300" s="155">
        <f>IFERROR(VLOOKUP(H$4,RSV!$AO$4:$AW$16,5,FALSE),"")</f>
        <v>0</v>
      </c>
      <c r="I300" s="155">
        <f>IFERROR(VLOOKUP(I$4,RSV!$AO$4:$AW$16,5,FALSE),"")</f>
        <v>2</v>
      </c>
      <c r="J300" s="155">
        <f>IFERROR(VLOOKUP(J$4,RSV!$AO$4:$AW$16,5,FALSE),"")</f>
        <v>0</v>
      </c>
      <c r="K300" s="155">
        <f>IFERROR(VLOOKUP(K$4,RSV!$AO$4:$AW$16,5,FALSE),"")</f>
        <v>0</v>
      </c>
      <c r="L300" s="155">
        <f>IFERROR(VLOOKUP(L$4,RSV!$AO$4:$AW$16,5,FALSE),"")</f>
        <v>0</v>
      </c>
      <c r="M300" s="155">
        <f>IFERROR(VLOOKUP(M$4,RSV!$AO$4:$AW$16,5,FALSE),"")</f>
        <v>0</v>
      </c>
      <c r="N300" s="155">
        <f>IFERROR(VLOOKUP(N$4,RSV!$AO$4:$AW$16,5,FALSE),"")</f>
        <v>0</v>
      </c>
      <c r="O300" s="155">
        <f>IFERROR(VLOOKUP(O$4,RSV!$AO$4:$AW$16,5,FALSE),"")</f>
        <v>0</v>
      </c>
      <c r="P300" s="155">
        <f>IFERROR(VLOOKUP(P$4,RSV!$AO$4:$AW$16,5,FALSE),"")</f>
        <v>0</v>
      </c>
      <c r="Q300" s="103"/>
    </row>
    <row r="301" spans="2:29" x14ac:dyDescent="0.35">
      <c r="B301" s="168"/>
      <c r="C301" s="1" t="s">
        <v>251</v>
      </c>
      <c r="D301" s="155">
        <f>IFERROR(VLOOKUP(D$4,RSV!$AO$4:$AW$16,9,FALSE),"")</f>
        <v>2</v>
      </c>
      <c r="E301" s="155">
        <f>IFERROR(VLOOKUP(E$4,RSV!$AO$4:$AW$16,9,FALSE),"")</f>
        <v>0</v>
      </c>
      <c r="F301" s="155">
        <f>IFERROR(VLOOKUP(F$4,RSV!$AO$4:$AW$16,9,FALSE),"")</f>
        <v>0</v>
      </c>
      <c r="G301" s="155">
        <f>IFERROR(VLOOKUP(G$4,RSV!$AO$4:$AW$16,9,FALSE),"")</f>
        <v>0</v>
      </c>
      <c r="H301" s="155">
        <f>IFERROR(VLOOKUP(H$4,RSV!$AO$4:$AW$16,9,FALSE),"")</f>
        <v>7</v>
      </c>
      <c r="I301" s="155">
        <f>IFERROR(VLOOKUP(I$4,RSV!$AO$4:$AW$16,9,FALSE),"")</f>
        <v>0</v>
      </c>
      <c r="J301" s="155">
        <f>IFERROR(VLOOKUP(J$4,RSV!$AO$4:$AW$16,9,FALSE),"")</f>
        <v>0</v>
      </c>
      <c r="K301" s="155">
        <f>IFERROR(VLOOKUP(K$4,RSV!$AO$4:$AW$16,9,FALSE),"")</f>
        <v>0</v>
      </c>
      <c r="L301" s="155">
        <f>IFERROR(VLOOKUP(L$4,RSV!$AO$4:$AW$16,9,FALSE),"")</f>
        <v>0</v>
      </c>
      <c r="M301" s="155">
        <f>IFERROR(VLOOKUP(M$4,RSV!$AO$4:$AW$16,9,FALSE),"")</f>
        <v>0</v>
      </c>
      <c r="N301" s="155">
        <f>IFERROR(VLOOKUP(N$4,RSV!$AO$4:$AW$16,9,FALSE),"")</f>
        <v>0</v>
      </c>
      <c r="O301" s="155">
        <f>IFERROR(VLOOKUP(O$4,RSV!$AO$4:$AW$16,9,FALSE),"")</f>
        <v>1</v>
      </c>
      <c r="P301" s="155">
        <f>IFERROR(VLOOKUP(P$4,RSV!$AO$4:$AW$16,9,FALSE),"")</f>
        <v>0</v>
      </c>
      <c r="Q301" s="103"/>
    </row>
    <row r="302" spans="2:29" x14ac:dyDescent="0.35">
      <c r="B302" s="168"/>
      <c r="C302" s="1" t="s">
        <v>217</v>
      </c>
      <c r="D302" s="155">
        <f>IFERROR(VLOOKUP(D$4,RSV!$AO$4:$AW$16,6,FALSE),"")</f>
        <v>12</v>
      </c>
      <c r="E302" s="155">
        <f>IFERROR(VLOOKUP(E$4,RSV!$AO$4:$AW$16,6,FALSE),"")</f>
        <v>4</v>
      </c>
      <c r="F302" s="155">
        <f>IFERROR(VLOOKUP(F$4,RSV!$AO$4:$AW$16,6,FALSE),"")</f>
        <v>8</v>
      </c>
      <c r="G302" s="155">
        <f>IFERROR(VLOOKUP(G$4,RSV!$AO$4:$AW$16,6,FALSE),"")</f>
        <v>3</v>
      </c>
      <c r="H302" s="155">
        <f>IFERROR(VLOOKUP(H$4,RSV!$AO$4:$AW$16,6,FALSE),"")</f>
        <v>0</v>
      </c>
      <c r="I302" s="155">
        <f>IFERROR(VLOOKUP(I$4,RSV!$AO$4:$AW$16,6,FALSE),"")</f>
        <v>2</v>
      </c>
      <c r="J302" s="155">
        <f>IFERROR(VLOOKUP(J$4,RSV!$AO$4:$AW$16,6,FALSE),"")</f>
        <v>0</v>
      </c>
      <c r="K302" s="155">
        <f>IFERROR(VLOOKUP(K$4,RSV!$AO$4:$AW$16,6,FALSE),"")</f>
        <v>2</v>
      </c>
      <c r="L302" s="155">
        <f>IFERROR(VLOOKUP(L$4,RSV!$AO$4:$AW$16,6,FALSE),"")</f>
        <v>2</v>
      </c>
      <c r="M302" s="155">
        <f>IFERROR(VLOOKUP(M$4,RSV!$AO$4:$AW$16,6,FALSE),"")</f>
        <v>3</v>
      </c>
      <c r="N302" s="155">
        <f>IFERROR(VLOOKUP(N$4,RSV!$AO$4:$AW$16,6,FALSE),"")</f>
        <v>3</v>
      </c>
      <c r="O302" s="155">
        <f>IFERROR(VLOOKUP(O$4,RSV!$AO$4:$AW$16,6,FALSE),"")</f>
        <v>3</v>
      </c>
      <c r="P302" s="155">
        <f>IFERROR(VLOOKUP(P$4,RSV!$AO$4:$AW$16,6,FALSE),"")</f>
        <v>0</v>
      </c>
      <c r="Q302" s="103"/>
    </row>
    <row r="303" spans="2:29" x14ac:dyDescent="0.35">
      <c r="B303" s="168"/>
      <c r="C303" s="11" t="s">
        <v>222</v>
      </c>
      <c r="D303" s="155">
        <f>IFERROR(VLOOKUP(D$4,RSV!$AO$4:$AW$16,7,FALSE),"")</f>
        <v>0</v>
      </c>
      <c r="E303" s="155">
        <f>IFERROR(VLOOKUP(E$4,RSV!$AO$4:$AW$16,7,FALSE),"")</f>
        <v>0</v>
      </c>
      <c r="F303" s="155">
        <f>IFERROR(VLOOKUP(F$4,RSV!$AO$4:$AW$16,7,FALSE),"")</f>
        <v>0</v>
      </c>
      <c r="G303" s="155">
        <f>IFERROR(VLOOKUP(G$4,RSV!$AO$4:$AW$16,7,FALSE),"")</f>
        <v>0</v>
      </c>
      <c r="H303" s="155">
        <f>IFERROR(VLOOKUP(H$4,RSV!$AO$4:$AW$16,7,FALSE),"")</f>
        <v>0</v>
      </c>
      <c r="I303" s="155">
        <f>IFERROR(VLOOKUP(I$4,RSV!$AO$4:$AW$16,7,FALSE),"")</f>
        <v>0</v>
      </c>
      <c r="J303" s="155">
        <f>IFERROR(VLOOKUP(J$4,RSV!$AO$4:$AW$16,7,FALSE),"")</f>
        <v>0</v>
      </c>
      <c r="K303" s="155">
        <f>IFERROR(VLOOKUP(K$4,RSV!$AO$4:$AW$16,7,FALSE),"")</f>
        <v>0</v>
      </c>
      <c r="L303" s="155">
        <f>IFERROR(VLOOKUP(L$4,RSV!$AO$4:$AW$16,7,FALSE),"")</f>
        <v>0</v>
      </c>
      <c r="M303" s="155">
        <f>IFERROR(VLOOKUP(M$4,RSV!$AO$4:$AW$16,7,FALSE),"")</f>
        <v>0</v>
      </c>
      <c r="N303" s="155">
        <f>IFERROR(VLOOKUP(N$4,RSV!$AO$4:$AW$16,7,FALSE),"")</f>
        <v>0</v>
      </c>
      <c r="O303" s="155">
        <f>IFERROR(VLOOKUP(O$4,RSV!$AO$4:$AW$16,7,FALSE),"")</f>
        <v>0</v>
      </c>
      <c r="P303" s="155">
        <f>IFERROR(VLOOKUP(P$4,RSV!$AO$4:$AW$16,7,FALSE),"")</f>
        <v>3</v>
      </c>
      <c r="Q303" s="103"/>
    </row>
    <row r="304" spans="2:29" ht="16" customHeight="1" x14ac:dyDescent="0.35">
      <c r="B304" s="168"/>
    </row>
    <row r="307" spans="2:29" ht="14.5" hidden="1" customHeight="1" x14ac:dyDescent="0.35">
      <c r="B307" s="168" t="s">
        <v>294</v>
      </c>
    </row>
    <row r="308" spans="2:29" hidden="1" x14ac:dyDescent="0.35">
      <c r="B308" s="168"/>
      <c r="E308" s="3"/>
      <c r="P308" s="3"/>
      <c r="Z308" s="169" t="s">
        <v>318</v>
      </c>
      <c r="AA308" s="169"/>
      <c r="AB308" s="169"/>
      <c r="AC308" s="169"/>
    </row>
    <row r="309" spans="2:29" hidden="1" x14ac:dyDescent="0.35">
      <c r="B309" s="168"/>
      <c r="Z309" s="169"/>
      <c r="AA309" s="169"/>
      <c r="AB309" s="169"/>
      <c r="AC309" s="169"/>
    </row>
    <row r="310" spans="2:29" hidden="1" x14ac:dyDescent="0.35">
      <c r="B310" s="168"/>
      <c r="C310" s="12" t="s">
        <v>301</v>
      </c>
      <c r="Z310" s="169"/>
      <c r="AA310" s="169"/>
      <c r="AB310" s="169"/>
      <c r="AC310" s="169"/>
    </row>
    <row r="311" spans="2:29" hidden="1" x14ac:dyDescent="0.35">
      <c r="B311" s="168"/>
      <c r="Z311" s="169"/>
      <c r="AA311" s="169"/>
      <c r="AB311" s="169"/>
      <c r="AC311" s="169"/>
    </row>
    <row r="312" spans="2:29" ht="14.5" hidden="1" customHeight="1" x14ac:dyDescent="0.35">
      <c r="B312" s="168"/>
      <c r="C312" s="16" t="s">
        <v>295</v>
      </c>
      <c r="D312" s="65">
        <f>IFERROR(VLOOKUP(D$4,'COVID bed occ.'!$M$2:$U$16,2,FALSE),"")</f>
        <v>5928.4285714285716</v>
      </c>
      <c r="E312" s="65" t="str">
        <f>IFERROR(VLOOKUP(E$4,'COVID bed occ.'!$M$2:$U$16,2,FALSE),"")</f>
        <v/>
      </c>
      <c r="F312" s="65" t="str">
        <f>IFERROR(VLOOKUP(F$4,'COVID bed occ.'!$M$2:$U$16,2,FALSE),"")</f>
        <v/>
      </c>
      <c r="G312" s="65" t="str">
        <f>IFERROR(VLOOKUP(G$4,'COVID bed occ.'!$M$2:$U$16,2,FALSE),"")</f>
        <v/>
      </c>
      <c r="H312" s="65" t="str">
        <f>IFERROR(VLOOKUP(H$4,'COVID bed occ.'!$M$2:$U$16,2,FALSE),"")</f>
        <v/>
      </c>
      <c r="I312" s="65" t="str">
        <f>IFERROR(VLOOKUP(I$4,'COVID bed occ.'!$M$2:$U$16,2,FALSE),"")</f>
        <v/>
      </c>
      <c r="J312" s="65" t="str">
        <f>IFERROR(VLOOKUP(J$4,'COVID bed occ.'!$M$2:$U$16,2,FALSE),"")</f>
        <v/>
      </c>
      <c r="K312" s="65" t="str">
        <f>IFERROR(VLOOKUP(K$4,'COVID bed occ.'!$M$2:$U$16,2,FALSE),"")</f>
        <v/>
      </c>
      <c r="L312" s="65" t="str">
        <f>IFERROR(VLOOKUP(L$4,'COVID bed occ.'!$M$2:$U$16,2,FALSE),"")</f>
        <v/>
      </c>
      <c r="M312" s="65" t="str">
        <f>IFERROR(VLOOKUP(M$4,'COVID bed occ.'!$M$2:$U$16,2,FALSE),"")</f>
        <v/>
      </c>
      <c r="N312" s="65" t="str">
        <f>IFERROR(VLOOKUP(N$4,'COVID bed occ.'!$M$2:$U$16,2,FALSE),"")</f>
        <v/>
      </c>
      <c r="O312" s="65" t="str">
        <f>IFERROR(VLOOKUP(O$4,'COVID bed occ.'!$M$2:$U$16,2,FALSE),"")</f>
        <v/>
      </c>
      <c r="P312" s="65" t="str">
        <f>IFERROR(VLOOKUP(P$4,'COVID bed occ.'!$M$2:$U$16,2,FALSE),"")</f>
        <v/>
      </c>
      <c r="Z312" s="170" t="s">
        <v>319</v>
      </c>
      <c r="AA312" s="170"/>
      <c r="AB312" s="170"/>
      <c r="AC312" s="170"/>
    </row>
    <row r="313" spans="2:29" hidden="1" x14ac:dyDescent="0.35">
      <c r="B313" s="168"/>
      <c r="C313" s="1" t="s">
        <v>1</v>
      </c>
      <c r="D313" s="157">
        <f>IFERROR(VLOOKUP(D$4,'COVID bed occ.'!$M$2:$U$16,4,FALSE),"")</f>
        <v>1080.5714285714287</v>
      </c>
      <c r="E313" s="157" t="str">
        <f>IFERROR(VLOOKUP(E$4,'COVID bed occ.'!$M$2:$U$16,4,FALSE),"")</f>
        <v/>
      </c>
      <c r="F313" s="157" t="str">
        <f>IFERROR(VLOOKUP(F$4,'COVID bed occ.'!$M$2:$U$16,4,FALSE),"")</f>
        <v/>
      </c>
      <c r="G313" s="157" t="str">
        <f>IFERROR(VLOOKUP(G$4,'COVID bed occ.'!$M$2:$U$16,4,FALSE),"")</f>
        <v/>
      </c>
      <c r="H313" s="157" t="str">
        <f>IFERROR(VLOOKUP(H$4,'COVID bed occ.'!$M$2:$U$16,4,FALSE),"")</f>
        <v/>
      </c>
      <c r="I313" s="157" t="str">
        <f>IFERROR(VLOOKUP(I$4,'COVID bed occ.'!$M$2:$U$16,4,FALSE),"")</f>
        <v/>
      </c>
      <c r="J313" s="157" t="str">
        <f>IFERROR(VLOOKUP(J$4,'COVID bed occ.'!$M$2:$U$16,4,FALSE),"")</f>
        <v/>
      </c>
      <c r="K313" s="157" t="str">
        <f>IFERROR(VLOOKUP(K$4,'COVID bed occ.'!$M$2:$U$16,4,FALSE),"")</f>
        <v/>
      </c>
      <c r="L313" s="157" t="str">
        <f>IFERROR(VLOOKUP(L$4,'COVID bed occ.'!$M$2:$U$16,4,FALSE),"")</f>
        <v/>
      </c>
      <c r="M313" s="157" t="str">
        <f>IFERROR(VLOOKUP(M$4,'COVID bed occ.'!$M$2:$U$16,4,FALSE),"")</f>
        <v/>
      </c>
      <c r="N313" s="157" t="str">
        <f>IFERROR(VLOOKUP(N$4,'COVID bed occ.'!$M$2:$U$16,4,FALSE),"")</f>
        <v/>
      </c>
      <c r="O313" s="157" t="str">
        <f>IFERROR(VLOOKUP(O$4,'COVID bed occ.'!$M$2:$U$16,4,FALSE),"")</f>
        <v/>
      </c>
      <c r="P313" s="157" t="str">
        <f>IFERROR(VLOOKUP(P$4,'COVID bed occ.'!$M$2:$U$16,4,FALSE),"")</f>
        <v/>
      </c>
      <c r="Z313" s="170"/>
      <c r="AA313" s="170"/>
      <c r="AB313" s="170"/>
      <c r="AC313" s="170"/>
    </row>
    <row r="314" spans="2:29" hidden="1" x14ac:dyDescent="0.35">
      <c r="B314" s="168"/>
      <c r="C314" s="1" t="s">
        <v>220</v>
      </c>
      <c r="D314" s="157">
        <f>IFERROR(VLOOKUP(D$4,'COVID bed occ.'!$M$2:$U$16,5,FALSE),"")</f>
        <v>1148</v>
      </c>
      <c r="E314" s="157" t="str">
        <f>IFERROR(VLOOKUP(E$4,'COVID bed occ.'!$M$2:$U$16,5,FALSE),"")</f>
        <v/>
      </c>
      <c r="F314" s="157" t="str">
        <f>IFERROR(VLOOKUP(F$4,'COVID bed occ.'!$M$2:$U$16,5,FALSE),"")</f>
        <v/>
      </c>
      <c r="G314" s="157" t="str">
        <f>IFERROR(VLOOKUP(G$4,'COVID bed occ.'!$M$2:$U$16,5,FALSE),"")</f>
        <v/>
      </c>
      <c r="H314" s="157" t="str">
        <f>IFERROR(VLOOKUP(H$4,'COVID bed occ.'!$M$2:$U$16,5,FALSE),"")</f>
        <v/>
      </c>
      <c r="I314" s="157" t="str">
        <f>IFERROR(VLOOKUP(I$4,'COVID bed occ.'!$M$2:$U$16,5,FALSE),"")</f>
        <v/>
      </c>
      <c r="J314" s="157" t="str">
        <f>IFERROR(VLOOKUP(J$4,'COVID bed occ.'!$M$2:$U$16,5,FALSE),"")</f>
        <v/>
      </c>
      <c r="K314" s="157" t="str">
        <f>IFERROR(VLOOKUP(K$4,'COVID bed occ.'!$M$2:$U$16,5,FALSE),"")</f>
        <v/>
      </c>
      <c r="L314" s="157" t="str">
        <f>IFERROR(VLOOKUP(L$4,'COVID bed occ.'!$M$2:$U$16,5,FALSE),"")</f>
        <v/>
      </c>
      <c r="M314" s="157" t="str">
        <f>IFERROR(VLOOKUP(M$4,'COVID bed occ.'!$M$2:$U$16,5,FALSE),"")</f>
        <v/>
      </c>
      <c r="N314" s="157" t="str">
        <f>IFERROR(VLOOKUP(N$4,'COVID bed occ.'!$M$2:$U$16,5,FALSE),"")</f>
        <v/>
      </c>
      <c r="O314" s="157" t="str">
        <f>IFERROR(VLOOKUP(O$4,'COVID bed occ.'!$M$2:$U$16,5,FALSE),"")</f>
        <v/>
      </c>
      <c r="P314" s="157" t="str">
        <f>IFERROR(VLOOKUP(P$4,'COVID bed occ.'!$M$2:$U$16,5,FALSE),"")</f>
        <v/>
      </c>
      <c r="Z314" s="170"/>
      <c r="AA314" s="170"/>
      <c r="AB314" s="170"/>
      <c r="AC314" s="170"/>
    </row>
    <row r="315" spans="2:29" hidden="1" x14ac:dyDescent="0.35">
      <c r="B315" s="168"/>
      <c r="C315" s="1" t="s">
        <v>248</v>
      </c>
      <c r="D315" s="157">
        <f>IFERROR(VLOOKUP(D$4,'COVID bed occ.'!$M$2:$U$16,3,FALSE),"")</f>
        <v>543.57142857142856</v>
      </c>
      <c r="E315" s="157" t="str">
        <f>IFERROR(VLOOKUP(E$4,'COVID bed occ.'!$M$2:$U$16,3,FALSE),"")</f>
        <v/>
      </c>
      <c r="F315" s="157" t="str">
        <f>IFERROR(VLOOKUP(F$4,'COVID bed occ.'!$M$2:$U$16,3,FALSE),"")</f>
        <v/>
      </c>
      <c r="G315" s="157" t="str">
        <f>IFERROR(VLOOKUP(G$4,'COVID bed occ.'!$M$2:$U$16,3,FALSE),"")</f>
        <v/>
      </c>
      <c r="H315" s="157" t="str">
        <f>IFERROR(VLOOKUP(H$4,'COVID bed occ.'!$M$2:$U$16,3,FALSE),"")</f>
        <v/>
      </c>
      <c r="I315" s="157" t="str">
        <f>IFERROR(VLOOKUP(I$4,'COVID bed occ.'!$M$2:$U$16,3,FALSE),"")</f>
        <v/>
      </c>
      <c r="J315" s="157" t="str">
        <f>IFERROR(VLOOKUP(J$4,'COVID bed occ.'!$M$2:$U$16,3,FALSE),"")</f>
        <v/>
      </c>
      <c r="K315" s="157" t="str">
        <f>IFERROR(VLOOKUP(K$4,'COVID bed occ.'!$M$2:$U$16,3,FALSE),"")</f>
        <v/>
      </c>
      <c r="L315" s="157" t="str">
        <f>IFERROR(VLOOKUP(L$4,'COVID bed occ.'!$M$2:$U$16,3,FALSE),"")</f>
        <v/>
      </c>
      <c r="M315" s="157" t="str">
        <f>IFERROR(VLOOKUP(M$4,'COVID bed occ.'!$M$2:$U$16,3,FALSE),"")</f>
        <v/>
      </c>
      <c r="N315" s="157" t="str">
        <f>IFERROR(VLOOKUP(N$4,'COVID bed occ.'!$M$2:$U$16,3,FALSE),"")</f>
        <v/>
      </c>
      <c r="O315" s="157" t="str">
        <f>IFERROR(VLOOKUP(O$4,'COVID bed occ.'!$M$2:$U$16,3,FALSE),"")</f>
        <v/>
      </c>
      <c r="P315" s="157" t="str">
        <f>IFERROR(VLOOKUP(P$4,'COVID bed occ.'!$M$2:$U$16,3,FALSE),"")</f>
        <v/>
      </c>
      <c r="Z315" s="170"/>
      <c r="AA315" s="170"/>
      <c r="AB315" s="170"/>
      <c r="AC315" s="170"/>
    </row>
    <row r="316" spans="2:29" hidden="1" x14ac:dyDescent="0.35">
      <c r="B316" s="168"/>
      <c r="C316" s="1" t="s">
        <v>249</v>
      </c>
      <c r="D316" s="157">
        <f>IFERROR(VLOOKUP(D$4,'COVID bed occ.'!$M$2:$U$16,6,FALSE),"")</f>
        <v>990.42857142857144</v>
      </c>
      <c r="E316" s="157" t="str">
        <f>IFERROR(VLOOKUP(E$4,'COVID bed occ.'!$M$2:$U$16,6,FALSE),"")</f>
        <v/>
      </c>
      <c r="F316" s="157" t="str">
        <f>IFERROR(VLOOKUP(F$4,'COVID bed occ.'!$M$2:$U$16,6,FALSE),"")</f>
        <v/>
      </c>
      <c r="G316" s="157" t="str">
        <f>IFERROR(VLOOKUP(G$4,'COVID bed occ.'!$M$2:$U$16,6,FALSE),"")</f>
        <v/>
      </c>
      <c r="H316" s="157" t="str">
        <f>IFERROR(VLOOKUP(H$4,'COVID bed occ.'!$M$2:$U$16,6,FALSE),"")</f>
        <v/>
      </c>
      <c r="I316" s="157" t="str">
        <f>IFERROR(VLOOKUP(I$4,'COVID bed occ.'!$M$2:$U$16,6,FALSE),"")</f>
        <v/>
      </c>
      <c r="J316" s="157" t="str">
        <f>IFERROR(VLOOKUP(J$4,'COVID bed occ.'!$M$2:$U$16,6,FALSE),"")</f>
        <v/>
      </c>
      <c r="K316" s="157" t="str">
        <f>IFERROR(VLOOKUP(K$4,'COVID bed occ.'!$M$2:$U$16,6,FALSE),"")</f>
        <v/>
      </c>
      <c r="L316" s="157" t="str">
        <f>IFERROR(VLOOKUP(L$4,'COVID bed occ.'!$M$2:$U$16,6,FALSE),"")</f>
        <v/>
      </c>
      <c r="M316" s="157" t="str">
        <f>IFERROR(VLOOKUP(M$4,'COVID bed occ.'!$M$2:$U$16,6,FALSE),"")</f>
        <v/>
      </c>
      <c r="N316" s="157" t="str">
        <f>IFERROR(VLOOKUP(N$4,'COVID bed occ.'!$M$2:$U$16,6,FALSE),"")</f>
        <v/>
      </c>
      <c r="O316" s="157" t="str">
        <f>IFERROR(VLOOKUP(O$4,'COVID bed occ.'!$M$2:$U$16,6,FALSE),"")</f>
        <v/>
      </c>
      <c r="P316" s="157" t="str">
        <f>IFERROR(VLOOKUP(P$4,'COVID bed occ.'!$M$2:$U$16,6,FALSE),"")</f>
        <v/>
      </c>
      <c r="Z316" s="158"/>
      <c r="AA316" s="158"/>
      <c r="AB316" s="158"/>
      <c r="AC316" s="158"/>
    </row>
    <row r="317" spans="2:29" hidden="1" x14ac:dyDescent="0.35">
      <c r="B317" s="168"/>
      <c r="C317" s="1" t="s">
        <v>251</v>
      </c>
      <c r="D317" s="157">
        <f>IFERROR(VLOOKUP(D$4,'COVID bed occ.'!$M$2:$U$16,7,FALSE),"")</f>
        <v>804.42857142857144</v>
      </c>
      <c r="E317" s="157" t="str">
        <f>IFERROR(VLOOKUP(E$4,'COVID bed occ.'!$M$2:$U$16,7,FALSE),"")</f>
        <v/>
      </c>
      <c r="F317" s="157" t="str">
        <f>IFERROR(VLOOKUP(F$4,'COVID bed occ.'!$M$2:$U$16,7,FALSE),"")</f>
        <v/>
      </c>
      <c r="G317" s="157" t="str">
        <f>IFERROR(VLOOKUP(G$4,'COVID bed occ.'!$M$2:$U$16,7,FALSE),"")</f>
        <v/>
      </c>
      <c r="H317" s="157" t="str">
        <f>IFERROR(VLOOKUP(H$4,'COVID bed occ.'!$M$2:$U$16,7,FALSE),"")</f>
        <v/>
      </c>
      <c r="I317" s="157" t="str">
        <f>IFERROR(VLOOKUP(I$4,'COVID bed occ.'!$M$2:$U$16,7,FALSE),"")</f>
        <v/>
      </c>
      <c r="J317" s="157" t="str">
        <f>IFERROR(VLOOKUP(J$4,'COVID bed occ.'!$M$2:$U$16,7,FALSE),"")</f>
        <v/>
      </c>
      <c r="K317" s="157" t="str">
        <f>IFERROR(VLOOKUP(K$4,'COVID bed occ.'!$M$2:$U$16,7,FALSE),"")</f>
        <v/>
      </c>
      <c r="L317" s="157" t="str">
        <f>IFERROR(VLOOKUP(L$4,'COVID bed occ.'!$M$2:$U$16,7,FALSE),"")</f>
        <v/>
      </c>
      <c r="M317" s="157" t="str">
        <f>IFERROR(VLOOKUP(M$4,'COVID bed occ.'!$M$2:$U$16,7,FALSE),"")</f>
        <v/>
      </c>
      <c r="N317" s="157" t="str">
        <f>IFERROR(VLOOKUP(N$4,'COVID bed occ.'!$M$2:$U$16,7,FALSE),"")</f>
        <v/>
      </c>
      <c r="O317" s="157" t="str">
        <f>IFERROR(VLOOKUP(O$4,'COVID bed occ.'!$M$2:$U$16,7,FALSE),"")</f>
        <v/>
      </c>
      <c r="P317" s="157" t="str">
        <f>IFERROR(VLOOKUP(P$4,'COVID bed occ.'!$M$2:$U$16,7,FALSE),"")</f>
        <v/>
      </c>
      <c r="Z317" s="158"/>
      <c r="AA317" s="158"/>
      <c r="AB317" s="158"/>
      <c r="AC317" s="158"/>
    </row>
    <row r="318" spans="2:29" hidden="1" x14ac:dyDescent="0.35">
      <c r="B318" s="168"/>
      <c r="C318" s="1" t="s">
        <v>221</v>
      </c>
      <c r="D318" s="157">
        <f>IFERROR(VLOOKUP(D$4,'COVID bed occ.'!$M$2:$U$16,8,FALSE),"")</f>
        <v>802.28571428571433</v>
      </c>
      <c r="E318" s="157" t="str">
        <f>IFERROR(VLOOKUP(E$4,'COVID bed occ.'!$M$2:$U$16,8,FALSE),"")</f>
        <v/>
      </c>
      <c r="F318" s="157" t="str">
        <f>IFERROR(VLOOKUP(F$4,'COVID bed occ.'!$M$2:$U$16,8,FALSE),"")</f>
        <v/>
      </c>
      <c r="G318" s="157" t="str">
        <f>IFERROR(VLOOKUP(G$4,'COVID bed occ.'!$M$2:$U$16,8,FALSE),"")</f>
        <v/>
      </c>
      <c r="H318" s="157" t="str">
        <f>IFERROR(VLOOKUP(H$4,'COVID bed occ.'!$M$2:$U$16,8,FALSE),"")</f>
        <v/>
      </c>
      <c r="I318" s="157" t="str">
        <f>IFERROR(VLOOKUP(I$4,'COVID bed occ.'!$M$2:$U$16,8,FALSE),"")</f>
        <v/>
      </c>
      <c r="J318" s="157" t="str">
        <f>IFERROR(VLOOKUP(J$4,'COVID bed occ.'!$M$2:$U$16,8,FALSE),"")</f>
        <v/>
      </c>
      <c r="K318" s="157" t="str">
        <f>IFERROR(VLOOKUP(K$4,'COVID bed occ.'!$M$2:$U$16,8,FALSE),"")</f>
        <v/>
      </c>
      <c r="L318" s="157" t="str">
        <f>IFERROR(VLOOKUP(L$4,'COVID bed occ.'!$M$2:$U$16,8,FALSE),"")</f>
        <v/>
      </c>
      <c r="M318" s="157" t="str">
        <f>IFERROR(VLOOKUP(M$4,'COVID bed occ.'!$M$2:$U$16,8,FALSE),"")</f>
        <v/>
      </c>
      <c r="N318" s="157" t="str">
        <f>IFERROR(VLOOKUP(N$4,'COVID bed occ.'!$M$2:$U$16,8,FALSE),"")</f>
        <v/>
      </c>
      <c r="O318" s="157" t="str">
        <f>IFERROR(VLOOKUP(O$4,'COVID bed occ.'!$M$2:$U$16,8,FALSE),"")</f>
        <v/>
      </c>
      <c r="P318" s="157" t="str">
        <f>IFERROR(VLOOKUP(P$4,'COVID bed occ.'!$M$2:$U$16,8,FALSE),"")</f>
        <v/>
      </c>
      <c r="Z318" s="158"/>
      <c r="AA318" s="158"/>
      <c r="AB318" s="158"/>
      <c r="AC318" s="158"/>
    </row>
    <row r="319" spans="2:29" hidden="1" x14ac:dyDescent="0.35">
      <c r="B319" s="168"/>
      <c r="C319" s="1" t="s">
        <v>222</v>
      </c>
      <c r="D319" s="157">
        <f>IFERROR(VLOOKUP(D$4,'COVID bed occ.'!$M$2:$U$16,9,FALSE),"")</f>
        <v>559.14285714285711</v>
      </c>
      <c r="E319" s="157" t="str">
        <f>IFERROR(VLOOKUP(E$4,'COVID bed occ.'!$M$2:$U$16,9,FALSE),"")</f>
        <v/>
      </c>
      <c r="F319" s="157" t="str">
        <f>IFERROR(VLOOKUP(F$4,'COVID bed occ.'!$M$2:$U$16,9,FALSE),"")</f>
        <v/>
      </c>
      <c r="G319" s="157" t="str">
        <f>IFERROR(VLOOKUP(G$4,'COVID bed occ.'!$M$2:$U$16,9,FALSE),"")</f>
        <v/>
      </c>
      <c r="H319" s="157" t="str">
        <f>IFERROR(VLOOKUP(H$4,'COVID bed occ.'!$M$2:$U$16,9,FALSE),"")</f>
        <v/>
      </c>
      <c r="I319" s="157" t="str">
        <f>IFERROR(VLOOKUP(I$4,'COVID bed occ.'!$M$2:$U$16,9,FALSE),"")</f>
        <v/>
      </c>
      <c r="J319" s="157" t="str">
        <f>IFERROR(VLOOKUP(J$4,'COVID bed occ.'!$M$2:$U$16,9,FALSE),"")</f>
        <v/>
      </c>
      <c r="K319" s="157" t="str">
        <f>IFERROR(VLOOKUP(K$4,'COVID bed occ.'!$M$2:$U$16,9,FALSE),"")</f>
        <v/>
      </c>
      <c r="L319" s="157" t="str">
        <f>IFERROR(VLOOKUP(L$4,'COVID bed occ.'!$M$2:$U$16,9,FALSE),"")</f>
        <v/>
      </c>
      <c r="M319" s="157" t="str">
        <f>IFERROR(VLOOKUP(M$4,'COVID bed occ.'!$M$2:$U$16,9,FALSE),"")</f>
        <v/>
      </c>
      <c r="N319" s="157" t="str">
        <f>IFERROR(VLOOKUP(N$4,'COVID bed occ.'!$M$2:$U$16,9,FALSE),"")</f>
        <v/>
      </c>
      <c r="O319" s="157" t="str">
        <f>IFERROR(VLOOKUP(O$4,'COVID bed occ.'!$M$2:$U$16,9,FALSE),"")</f>
        <v/>
      </c>
      <c r="P319" s="157" t="str">
        <f>IFERROR(VLOOKUP(P$4,'COVID bed occ.'!$M$2:$U$16,9,FALSE),"")</f>
        <v/>
      </c>
      <c r="Z319" s="158"/>
      <c r="AA319" s="158"/>
      <c r="AB319" s="158"/>
      <c r="AC319" s="158"/>
    </row>
    <row r="320" spans="2:29" hidden="1" x14ac:dyDescent="0.35">
      <c r="B320" s="168"/>
      <c r="Z320" s="158"/>
      <c r="AA320" s="158"/>
      <c r="AB320" s="158"/>
      <c r="AC320" s="158"/>
    </row>
    <row r="321" spans="2:29" hidden="1" x14ac:dyDescent="0.35">
      <c r="B321" s="168"/>
      <c r="Z321" s="158"/>
      <c r="AA321" s="158"/>
      <c r="AB321" s="158"/>
      <c r="AC321" s="158"/>
    </row>
    <row r="322" spans="2:29" hidden="1" x14ac:dyDescent="0.35">
      <c r="B322" s="168"/>
      <c r="Z322" s="158"/>
      <c r="AA322" s="158"/>
      <c r="AB322" s="158"/>
      <c r="AC322" s="158"/>
    </row>
    <row r="323" spans="2:29" hidden="1" x14ac:dyDescent="0.35">
      <c r="B323" s="168"/>
      <c r="Z323" s="158"/>
      <c r="AA323" s="158"/>
      <c r="AB323" s="158"/>
      <c r="AC323" s="158"/>
    </row>
    <row r="324" spans="2:29" hidden="1" x14ac:dyDescent="0.35">
      <c r="B324" s="168"/>
      <c r="Z324" s="158"/>
      <c r="AA324" s="158"/>
      <c r="AB324" s="158"/>
      <c r="AC324" s="158"/>
    </row>
    <row r="325" spans="2:29" hidden="1" x14ac:dyDescent="0.35">
      <c r="B325" s="168"/>
      <c r="Z325" s="158"/>
      <c r="AA325" s="158"/>
      <c r="AB325" s="158"/>
      <c r="AC325" s="158"/>
    </row>
    <row r="326" spans="2:29" hidden="1" x14ac:dyDescent="0.35">
      <c r="Z326" s="158"/>
      <c r="AA326" s="158"/>
      <c r="AB326" s="158"/>
      <c r="AC326" s="158"/>
    </row>
    <row r="327" spans="2:29" ht="14.5" customHeight="1" x14ac:dyDescent="0.35">
      <c r="B327" s="168" t="s">
        <v>367</v>
      </c>
      <c r="Z327" s="158"/>
      <c r="AA327" s="158"/>
      <c r="AB327" s="158"/>
      <c r="AC327" s="158"/>
    </row>
    <row r="328" spans="2:29" ht="29" customHeight="1" x14ac:dyDescent="0.35">
      <c r="B328" s="168"/>
      <c r="C328" s="165" t="s">
        <v>368</v>
      </c>
      <c r="Z328" s="158"/>
      <c r="AA328" s="158"/>
      <c r="AB328" s="158"/>
      <c r="AC328" s="158"/>
    </row>
    <row r="329" spans="2:29" ht="14.5" customHeight="1" x14ac:dyDescent="0.35">
      <c r="B329" s="168"/>
      <c r="C329" s="164"/>
      <c r="Z329" s="169" t="s">
        <v>370</v>
      </c>
      <c r="AA329" s="169"/>
      <c r="AB329" s="169"/>
      <c r="AC329" s="169"/>
    </row>
    <row r="330" spans="2:29" x14ac:dyDescent="0.35">
      <c r="B330" s="168"/>
      <c r="C330" s="16" t="s">
        <v>295</v>
      </c>
      <c r="D330" s="63">
        <f>IFERROR(VLOOKUP(D$4,'Delayed discharges'!$AX$4:$BF$16,2,FALSE),"")</f>
        <v>0.5488977204559089</v>
      </c>
      <c r="E330" s="63">
        <f>IFERROR(VLOOKUP(E$4,'Delayed discharges'!$AX$4:$BF$16,2,FALSE),"")</f>
        <v>0.54545117904965046</v>
      </c>
      <c r="F330" s="63">
        <f>IFERROR(VLOOKUP(F$4,'Delayed discharges'!$AX$4:$BF$16,2,FALSE),"")</f>
        <v>0.54591476250482562</v>
      </c>
      <c r="G330" s="63">
        <f>IFERROR(VLOOKUP(G$4,'Delayed discharges'!$AX$4:$BF$16,2,FALSE),"")</f>
        <v>0.51533139165274477</v>
      </c>
      <c r="H330" s="63">
        <f>IFERROR(VLOOKUP(H$4,'Delayed discharges'!$AX$4:$BF$16,2,FALSE),"")</f>
        <v>0.5835628939852292</v>
      </c>
      <c r="I330" s="63">
        <f>IFERROR(VLOOKUP(I$4,'Delayed discharges'!$AX$4:$BF$16,2,FALSE),"")</f>
        <v>0.60665232743369324</v>
      </c>
      <c r="J330" s="63">
        <f>IFERROR(VLOOKUP(J$4,'Delayed discharges'!$AX$4:$BF$16,2,FALSE),"")</f>
        <v>0.59459991581462923</v>
      </c>
      <c r="K330" s="63">
        <f>IFERROR(VLOOKUP(K$4,'Delayed discharges'!$AX$4:$BF$16,2,FALSE),"")</f>
        <v>0.59359327611156254</v>
      </c>
      <c r="L330" s="63">
        <f>IFERROR(VLOOKUP(L$4,'Delayed discharges'!$AX$4:$BF$16,2,FALSE),"")</f>
        <v>0.5783117932148627</v>
      </c>
      <c r="M330" s="63">
        <f>IFERROR(VLOOKUP(M$4,'Delayed discharges'!$AX$4:$BF$16,2,FALSE),"")</f>
        <v>0.57322388493389509</v>
      </c>
      <c r="N330" s="63">
        <f>IFERROR(VLOOKUP(N$4,'Delayed discharges'!$AX$4:$BF$16,2,FALSE),"")</f>
        <v>0.56405387882556857</v>
      </c>
      <c r="O330" s="63">
        <f>IFERROR(VLOOKUP(O$4,'Delayed discharges'!$AX$4:$BF$16,2,FALSE),"")</f>
        <v>0.56581948182696062</v>
      </c>
      <c r="P330" s="63">
        <f>IFERROR(VLOOKUP(P$4,'Delayed discharges'!$AX$4:$BF$16,2,FALSE),"")</f>
        <v>0.55684997229467648</v>
      </c>
      <c r="Z330" s="169"/>
      <c r="AA330" s="169"/>
      <c r="AB330" s="169"/>
      <c r="AC330" s="169"/>
    </row>
    <row r="331" spans="2:29" x14ac:dyDescent="0.35">
      <c r="B331" s="168"/>
      <c r="C331" s="1" t="s">
        <v>1</v>
      </c>
      <c r="D331" s="156">
        <f>IFERROR(VLOOKUP(D$4,'Delayed discharges'!$AX$4:$BF$16,4,FALSE),"")</f>
        <v>0.46309648040982826</v>
      </c>
      <c r="E331" s="156">
        <f>IFERROR(VLOOKUP(E$4,'Delayed discharges'!$AX$4:$BF$16,4,FALSE),"")</f>
        <v>0.47073344410159024</v>
      </c>
      <c r="F331" s="156">
        <f>IFERROR(VLOOKUP(F$4,'Delayed discharges'!$AX$4:$BF$16,4,FALSE),"")</f>
        <v>0.4692779259675231</v>
      </c>
      <c r="G331" s="156">
        <f>IFERROR(VLOOKUP(G$4,'Delayed discharges'!$AX$4:$BF$16,4,FALSE),"")</f>
        <v>0.46589391131986041</v>
      </c>
      <c r="H331" s="156">
        <f>IFERROR(VLOOKUP(H$4,'Delayed discharges'!$AX$4:$BF$16,4,FALSE),"")</f>
        <v>0.56673335238639611</v>
      </c>
      <c r="I331" s="156">
        <f>IFERROR(VLOOKUP(I$4,'Delayed discharges'!$AX$4:$BF$16,4,FALSE),"")</f>
        <v>0.59125138883173534</v>
      </c>
      <c r="J331" s="156">
        <f>IFERROR(VLOOKUP(J$4,'Delayed discharges'!$AX$4:$BF$16,4,FALSE),"")</f>
        <v>0.55918016115152935</v>
      </c>
      <c r="K331" s="156">
        <f>IFERROR(VLOOKUP(K$4,'Delayed discharges'!$AX$4:$BF$16,4,FALSE),"")</f>
        <v>0.56948512409434249</v>
      </c>
      <c r="L331" s="156">
        <f>IFERROR(VLOOKUP(L$4,'Delayed discharges'!$AX$4:$BF$16,4,FALSE),"")</f>
        <v>0.53691773066260595</v>
      </c>
      <c r="M331" s="156">
        <f>IFERROR(VLOOKUP(M$4,'Delayed discharges'!$AX$4:$BF$16,4,FALSE),"")</f>
        <v>0.52634973631293391</v>
      </c>
      <c r="N331" s="156">
        <f>IFERROR(VLOOKUP(N$4,'Delayed discharges'!$AX$4:$BF$16,4,FALSE),"")</f>
        <v>0.5277712495103799</v>
      </c>
      <c r="O331" s="156">
        <f>IFERROR(VLOOKUP(O$4,'Delayed discharges'!$AX$4:$BF$16,4,FALSE),"")</f>
        <v>0.51635181799715624</v>
      </c>
      <c r="P331" s="156">
        <f>IFERROR(VLOOKUP(P$4,'Delayed discharges'!$AX$4:$BF$16,4,FALSE),"")</f>
        <v>0.51028097318529797</v>
      </c>
      <c r="Z331" s="169"/>
      <c r="AA331" s="169"/>
      <c r="AB331" s="169"/>
      <c r="AC331" s="169"/>
    </row>
    <row r="332" spans="2:29" x14ac:dyDescent="0.35">
      <c r="B332" s="168"/>
      <c r="C332" s="1" t="s">
        <v>220</v>
      </c>
      <c r="D332" s="156">
        <f>IFERROR(VLOOKUP(D$4,'Delayed discharges'!$AX$4:$BF$16,5,FALSE),"")</f>
        <v>0.60628328008519705</v>
      </c>
      <c r="E332" s="156">
        <f>IFERROR(VLOOKUP(E$4,'Delayed discharges'!$AX$4:$BF$16,5,FALSE),"")</f>
        <v>0.59809831359885179</v>
      </c>
      <c r="F332" s="156">
        <f>IFERROR(VLOOKUP(F$4,'Delayed discharges'!$AX$4:$BF$16,5,FALSE),"")</f>
        <v>0.59040051311288488</v>
      </c>
      <c r="G332" s="156">
        <f>IFERROR(VLOOKUP(G$4,'Delayed discharges'!$AX$4:$BF$16,5,FALSE),"")</f>
        <v>0.55116942384483736</v>
      </c>
      <c r="H332" s="156">
        <f>IFERROR(VLOOKUP(H$4,'Delayed discharges'!$AX$4:$BF$16,5,FALSE),"")</f>
        <v>0.5981494000338009</v>
      </c>
      <c r="I332" s="156">
        <f>IFERROR(VLOOKUP(I$4,'Delayed discharges'!$AX$4:$BF$16,5,FALSE),"")</f>
        <v>0.66274792369828206</v>
      </c>
      <c r="J332" s="156">
        <f>IFERROR(VLOOKUP(J$4,'Delayed discharges'!$AX$4:$BF$16,5,FALSE),"")</f>
        <v>0.63933239077209558</v>
      </c>
      <c r="K332" s="156">
        <f>IFERROR(VLOOKUP(K$4,'Delayed discharges'!$AX$4:$BF$16,5,FALSE),"")</f>
        <v>0.62675523127753308</v>
      </c>
      <c r="L332" s="156">
        <f>IFERROR(VLOOKUP(L$4,'Delayed discharges'!$AX$4:$BF$16,5,FALSE),"")</f>
        <v>0.59410790175034212</v>
      </c>
      <c r="M332" s="156">
        <f>IFERROR(VLOOKUP(M$4,'Delayed discharges'!$AX$4:$BF$16,5,FALSE),"")</f>
        <v>0.56566648481542103</v>
      </c>
      <c r="N332" s="156">
        <f>IFERROR(VLOOKUP(N$4,'Delayed discharges'!$AX$4:$BF$16,5,FALSE),"")</f>
        <v>0.55363700564971752</v>
      </c>
      <c r="O332" s="156">
        <f>IFERROR(VLOOKUP(O$4,'Delayed discharges'!$AX$4:$BF$16,5,FALSE),"")</f>
        <v>0.54503343419627182</v>
      </c>
      <c r="P332" s="156">
        <f>IFERROR(VLOOKUP(P$4,'Delayed discharges'!$AX$4:$BF$16,5,FALSE),"")</f>
        <v>0.5412161671867064</v>
      </c>
      <c r="Z332" s="169"/>
      <c r="AA332" s="169"/>
      <c r="AB332" s="169"/>
      <c r="AC332" s="169"/>
    </row>
    <row r="333" spans="2:29" ht="14.5" customHeight="1" x14ac:dyDescent="0.35">
      <c r="B333" s="168"/>
      <c r="C333" s="1" t="s">
        <v>248</v>
      </c>
      <c r="D333" s="156">
        <f>IFERROR(VLOOKUP(D$4,'Delayed discharges'!$AX$4:$BF$16,3,FALSE),"")</f>
        <v>0.55566892743532803</v>
      </c>
      <c r="E333" s="156">
        <f>IFERROR(VLOOKUP(E$4,'Delayed discharges'!$AX$4:$BF$16,3,FALSE),"")</f>
        <v>0.55771378925158244</v>
      </c>
      <c r="F333" s="156">
        <f>IFERROR(VLOOKUP(F$4,'Delayed discharges'!$AX$4:$BF$16,3,FALSE),"")</f>
        <v>0.57584203036053128</v>
      </c>
      <c r="G333" s="156">
        <f>IFERROR(VLOOKUP(G$4,'Delayed discharges'!$AX$4:$BF$16,3,FALSE),"")</f>
        <v>0.51454545454545453</v>
      </c>
      <c r="H333" s="156">
        <f>IFERROR(VLOOKUP(H$4,'Delayed discharges'!$AX$4:$BF$16,3,FALSE),"")</f>
        <v>0.57387814666180226</v>
      </c>
      <c r="I333" s="156">
        <f>IFERROR(VLOOKUP(I$4,'Delayed discharges'!$AX$4:$BF$16,3,FALSE),"")</f>
        <v>0.56382911592099461</v>
      </c>
      <c r="J333" s="156">
        <f>IFERROR(VLOOKUP(J$4,'Delayed discharges'!$AX$4:$BF$16,3,FALSE),"")</f>
        <v>0.51608196023590935</v>
      </c>
      <c r="K333" s="156">
        <f>IFERROR(VLOOKUP(K$4,'Delayed discharges'!$AX$4:$BF$16,3,FALSE),"")</f>
        <v>0.48397872077199061</v>
      </c>
      <c r="L333" s="156">
        <f>IFERROR(VLOOKUP(L$4,'Delayed discharges'!$AX$4:$BF$16,3,FALSE),"")</f>
        <v>0.48119333890567739</v>
      </c>
      <c r="M333" s="156">
        <f>IFERROR(VLOOKUP(M$4,'Delayed discharges'!$AX$4:$BF$16,3,FALSE),"")</f>
        <v>0.44625972856499646</v>
      </c>
      <c r="N333" s="156">
        <f>IFERROR(VLOOKUP(N$4,'Delayed discharges'!$AX$4:$BF$16,3,FALSE),"")</f>
        <v>0.45441053107052976</v>
      </c>
      <c r="O333" s="156">
        <f>IFERROR(VLOOKUP(O$4,'Delayed discharges'!$AX$4:$BF$16,3,FALSE),"")</f>
        <v>0.45775913720790895</v>
      </c>
      <c r="P333" s="156">
        <f>IFERROR(VLOOKUP(P$4,'Delayed discharges'!$AX$4:$BF$16,3,FALSE),"")</f>
        <v>0.45559178975637832</v>
      </c>
      <c r="Z333" s="169"/>
      <c r="AA333" s="169"/>
      <c r="AB333" s="169"/>
      <c r="AC333" s="169"/>
    </row>
    <row r="334" spans="2:29" x14ac:dyDescent="0.35">
      <c r="B334" s="168"/>
      <c r="C334" s="1" t="s">
        <v>249</v>
      </c>
      <c r="D334" s="156">
        <f>IFERROR(VLOOKUP(D$4,'Delayed discharges'!$AX$4:$BF$16,6,FALSE),"")</f>
        <v>0.50496461681935378</v>
      </c>
      <c r="E334" s="156">
        <f>IFERROR(VLOOKUP(E$4,'Delayed discharges'!$AX$4:$BF$16,6,FALSE),"")</f>
        <v>0.48138907276337894</v>
      </c>
      <c r="F334" s="156">
        <f>IFERROR(VLOOKUP(F$4,'Delayed discharges'!$AX$4:$BF$16,6,FALSE),"")</f>
        <v>0.47772626486595449</v>
      </c>
      <c r="G334" s="156">
        <f>IFERROR(VLOOKUP(G$4,'Delayed discharges'!$AX$4:$BF$16,6,FALSE),"")</f>
        <v>0.44511472028873417</v>
      </c>
      <c r="H334" s="156">
        <f>IFERROR(VLOOKUP(H$4,'Delayed discharges'!$AX$4:$BF$16,6,FALSE),"")</f>
        <v>0.51439608860988706</v>
      </c>
      <c r="I334" s="156">
        <f>IFERROR(VLOOKUP(I$4,'Delayed discharges'!$AX$4:$BF$16,6,FALSE),"")</f>
        <v>0.51468371536982171</v>
      </c>
      <c r="J334" s="156">
        <f>IFERROR(VLOOKUP(J$4,'Delayed discharges'!$AX$4:$BF$16,6,FALSE),"")</f>
        <v>0.51007448433919023</v>
      </c>
      <c r="K334" s="156">
        <f>IFERROR(VLOOKUP(K$4,'Delayed discharges'!$AX$4:$BF$16,6,FALSE),"")</f>
        <v>0.53828591499824374</v>
      </c>
      <c r="L334" s="156">
        <f>IFERROR(VLOOKUP(L$4,'Delayed discharges'!$AX$4:$BF$16,6,FALSE),"")</f>
        <v>0.55286624203821655</v>
      </c>
      <c r="M334" s="156">
        <f>IFERROR(VLOOKUP(M$4,'Delayed discharges'!$AX$4:$BF$16,6,FALSE),"")</f>
        <v>0.55490958833839188</v>
      </c>
      <c r="N334" s="156">
        <f>IFERROR(VLOOKUP(N$4,'Delayed discharges'!$AX$4:$BF$16,6,FALSE),"")</f>
        <v>0.55422694205201106</v>
      </c>
      <c r="O334" s="156">
        <f>IFERROR(VLOOKUP(O$4,'Delayed discharges'!$AX$4:$BF$16,6,FALSE),"")</f>
        <v>0.57369007803790406</v>
      </c>
      <c r="P334" s="156">
        <f>IFERROR(VLOOKUP(P$4,'Delayed discharges'!$AX$4:$BF$16,6,FALSE),"")</f>
        <v>0.55886860195280008</v>
      </c>
      <c r="Z334" s="197" t="s">
        <v>361</v>
      </c>
      <c r="AA334" s="197"/>
      <c r="AB334" s="197"/>
      <c r="AC334" s="197"/>
    </row>
    <row r="335" spans="2:29" x14ac:dyDescent="0.35">
      <c r="B335" s="168"/>
      <c r="C335" s="1" t="s">
        <v>251</v>
      </c>
      <c r="D335" s="156">
        <f>IFERROR(VLOOKUP(D$4,'Delayed discharges'!$AX$4:$BF$16,7,FALSE),"")</f>
        <v>0.63390807665616822</v>
      </c>
      <c r="E335" s="156">
        <f>IFERROR(VLOOKUP(E$4,'Delayed discharges'!$AX$4:$BF$16,7,FALSE),"")</f>
        <v>0.64616924274435672</v>
      </c>
      <c r="F335" s="156">
        <f>IFERROR(VLOOKUP(F$4,'Delayed discharges'!$AX$4:$BF$16,7,FALSE),"")</f>
        <v>0.65544320137693635</v>
      </c>
      <c r="G335" s="156">
        <f>IFERROR(VLOOKUP(G$4,'Delayed discharges'!$AX$4:$BF$16,7,FALSE),"")</f>
        <v>0.61730285464289625</v>
      </c>
      <c r="H335" s="156">
        <f>IFERROR(VLOOKUP(H$4,'Delayed discharges'!$AX$4:$BF$16,7,FALSE),"")</f>
        <v>0.66298592276895263</v>
      </c>
      <c r="I335" s="156">
        <f>IFERROR(VLOOKUP(I$4,'Delayed discharges'!$AX$4:$BF$16,7,FALSE),"")</f>
        <v>0.68554156730075977</v>
      </c>
      <c r="J335" s="156">
        <f>IFERROR(VLOOKUP(J$4,'Delayed discharges'!$AX$4:$BF$16,7,FALSE),"")</f>
        <v>0.67974610502019617</v>
      </c>
      <c r="K335" s="156">
        <f>IFERROR(VLOOKUP(K$4,'Delayed discharges'!$AX$4:$BF$16,7,FALSE),"")</f>
        <v>0.67547590117456457</v>
      </c>
      <c r="L335" s="156">
        <f>IFERROR(VLOOKUP(L$4,'Delayed discharges'!$AX$4:$BF$16,7,FALSE),"")</f>
        <v>0.67122813951190596</v>
      </c>
      <c r="M335" s="156">
        <f>IFERROR(VLOOKUP(M$4,'Delayed discharges'!$AX$4:$BF$16,7,FALSE),"")</f>
        <v>0.67190902492136473</v>
      </c>
      <c r="N335" s="156">
        <f>IFERROR(VLOOKUP(N$4,'Delayed discharges'!$AX$4:$BF$16,7,FALSE),"")</f>
        <v>0.66426999266324294</v>
      </c>
      <c r="O335" s="156">
        <f>IFERROR(VLOOKUP(O$4,'Delayed discharges'!$AX$4:$BF$16,7,FALSE),"")</f>
        <v>0.68016374038271854</v>
      </c>
      <c r="P335" s="156">
        <f>IFERROR(VLOOKUP(P$4,'Delayed discharges'!$AX$4:$BF$16,7,FALSE),"")</f>
        <v>0.66997677980336934</v>
      </c>
      <c r="Z335" s="197"/>
      <c r="AA335" s="197"/>
      <c r="AB335" s="197"/>
      <c r="AC335" s="197"/>
    </row>
    <row r="336" spans="2:29" x14ac:dyDescent="0.35">
      <c r="B336" s="168"/>
      <c r="C336" s="1" t="s">
        <v>221</v>
      </c>
      <c r="D336" s="156">
        <f>IFERROR(VLOOKUP(D$4,'Delayed discharges'!$AX$4:$BF$16,8,FALSE),"")</f>
        <v>0.41453544836516676</v>
      </c>
      <c r="E336" s="156">
        <f>IFERROR(VLOOKUP(E$4,'Delayed discharges'!$AX$4:$BF$16,8,FALSE),"")</f>
        <v>0.45601969159487438</v>
      </c>
      <c r="F336" s="156">
        <f>IFERROR(VLOOKUP(F$4,'Delayed discharges'!$AX$4:$BF$16,8,FALSE),"")</f>
        <v>0.44008810572687229</v>
      </c>
      <c r="G336" s="156">
        <f>IFERROR(VLOOKUP(G$4,'Delayed discharges'!$AX$4:$BF$16,8,FALSE),"")</f>
        <v>0.42844250582838234</v>
      </c>
      <c r="H336" s="156">
        <f>IFERROR(VLOOKUP(H$4,'Delayed discharges'!$AX$4:$BF$16,8,FALSE),"")</f>
        <v>0.49834777172456912</v>
      </c>
      <c r="I336" s="156">
        <f>IFERROR(VLOOKUP(I$4,'Delayed discharges'!$AX$4:$BF$16,8,FALSE),"")</f>
        <v>0.49246347684934683</v>
      </c>
      <c r="J336" s="156">
        <f>IFERROR(VLOOKUP(J$4,'Delayed discharges'!$AX$4:$BF$16,8,FALSE),"")</f>
        <v>0.53457179744656436</v>
      </c>
      <c r="K336" s="156">
        <f>IFERROR(VLOOKUP(K$4,'Delayed discharges'!$AX$4:$BF$16,8,FALSE),"")</f>
        <v>0.52845528455284552</v>
      </c>
      <c r="L336" s="156">
        <f>IFERROR(VLOOKUP(L$4,'Delayed discharges'!$AX$4:$BF$16,8,FALSE),"")</f>
        <v>0.49210091959443525</v>
      </c>
      <c r="M336" s="156">
        <f>IFERROR(VLOOKUP(M$4,'Delayed discharges'!$AX$4:$BF$16,8,FALSE),"")</f>
        <v>0.53528674832962142</v>
      </c>
      <c r="N336" s="156">
        <f>IFERROR(VLOOKUP(N$4,'Delayed discharges'!$AX$4:$BF$16,8,FALSE),"")</f>
        <v>0.4985347723536559</v>
      </c>
      <c r="O336" s="156">
        <f>IFERROR(VLOOKUP(O$4,'Delayed discharges'!$AX$4:$BF$16,8,FALSE),"")</f>
        <v>0.50875752599890522</v>
      </c>
      <c r="P336" s="156">
        <f>IFERROR(VLOOKUP(P$4,'Delayed discharges'!$AX$4:$BF$16,8,FALSE),"")</f>
        <v>0.50020917584716218</v>
      </c>
      <c r="Z336" s="197"/>
      <c r="AA336" s="197"/>
      <c r="AB336" s="197"/>
      <c r="AC336" s="197"/>
    </row>
    <row r="337" spans="2:29" x14ac:dyDescent="0.35">
      <c r="B337" s="168"/>
      <c r="C337" s="1" t="s">
        <v>222</v>
      </c>
      <c r="D337" s="156">
        <f>IFERROR(VLOOKUP(D$4,'Delayed discharges'!$AX$4:$BF$16,9,FALSE),"")</f>
        <v>0.60119146119477085</v>
      </c>
      <c r="E337" s="156">
        <f>IFERROR(VLOOKUP(E$4,'Delayed discharges'!$AX$4:$BF$16,9,FALSE),"")</f>
        <v>0.57733182284080486</v>
      </c>
      <c r="F337" s="156">
        <f>IFERROR(VLOOKUP(F$4,'Delayed discharges'!$AX$4:$BF$16,9,FALSE),"")</f>
        <v>0.57985634308651102</v>
      </c>
      <c r="G337" s="156">
        <f>IFERROR(VLOOKUP(G$4,'Delayed discharges'!$AX$4:$BF$16,9,FALSE),"")</f>
        <v>0.5601608413238478</v>
      </c>
      <c r="H337" s="156">
        <f>IFERROR(VLOOKUP(H$4,'Delayed discharges'!$AX$4:$BF$16,9,FALSE),"")</f>
        <v>0.64400597907324364</v>
      </c>
      <c r="I337" s="156">
        <f>IFERROR(VLOOKUP(I$4,'Delayed discharges'!$AX$4:$BF$16,9,FALSE),"")</f>
        <v>0.67834247910149237</v>
      </c>
      <c r="J337" s="156">
        <f>IFERROR(VLOOKUP(J$4,'Delayed discharges'!$AX$4:$BF$16,9,FALSE),"")</f>
        <v>0.67895043209600137</v>
      </c>
      <c r="K337" s="156">
        <f>IFERROR(VLOOKUP(K$4,'Delayed discharges'!$AX$4:$BF$16,9,FALSE),"")</f>
        <v>0.67861094561239255</v>
      </c>
      <c r="L337" s="156">
        <f>IFERROR(VLOOKUP(L$4,'Delayed discharges'!$AX$4:$BF$16,9,FALSE),"")</f>
        <v>0.66255678131083706</v>
      </c>
      <c r="M337" s="156">
        <f>IFERROR(VLOOKUP(M$4,'Delayed discharges'!$AX$4:$BF$16,9,FALSE),"")</f>
        <v>0.67285284521842303</v>
      </c>
      <c r="N337" s="156">
        <f>IFERROR(VLOOKUP(N$4,'Delayed discharges'!$AX$4:$BF$16,9,FALSE),"")</f>
        <v>0.65032192043661796</v>
      </c>
      <c r="O337" s="156">
        <f>IFERROR(VLOOKUP(O$4,'Delayed discharges'!$AX$4:$BF$16,9,FALSE),"")</f>
        <v>0.6437127091651339</v>
      </c>
      <c r="P337" s="156">
        <f>IFERROR(VLOOKUP(P$4,'Delayed discharges'!$AX$4:$BF$16,9,FALSE),"")</f>
        <v>0.63058802534130454</v>
      </c>
      <c r="Z337" s="197"/>
      <c r="AA337" s="197"/>
      <c r="AB337" s="197"/>
      <c r="AC337" s="197"/>
    </row>
    <row r="338" spans="2:29" x14ac:dyDescent="0.35">
      <c r="B338" s="168"/>
      <c r="Z338" s="197"/>
      <c r="AA338" s="197"/>
      <c r="AB338" s="197"/>
      <c r="AC338" s="197"/>
    </row>
    <row r="339" spans="2:29" x14ac:dyDescent="0.35">
      <c r="B339" s="168"/>
      <c r="Z339" s="197"/>
      <c r="AA339" s="197"/>
      <c r="AB339" s="197"/>
      <c r="AC339" s="197"/>
    </row>
    <row r="340" spans="2:29" ht="43.5" x14ac:dyDescent="0.35">
      <c r="B340" s="168"/>
      <c r="C340" s="165" t="s">
        <v>369</v>
      </c>
    </row>
    <row r="341" spans="2:29" x14ac:dyDescent="0.35">
      <c r="B341" s="168"/>
      <c r="C341" s="16" t="s">
        <v>295</v>
      </c>
      <c r="D341" s="65">
        <f>IFERROR(VLOOKUP(D$4,'Delayed discharges'!$T$5:$AB$17,2,FALSE),"")</f>
        <v>19051.428571428572</v>
      </c>
      <c r="E341" s="65">
        <f>IFERROR(VLOOKUP(E$4,'Delayed discharges'!$T$5:$AB$17,2,FALSE),"")</f>
        <v>19289.142857142859</v>
      </c>
      <c r="F341" s="65">
        <f>IFERROR(VLOOKUP(F$4,'Delayed discharges'!$T$5:$AB$17,2,FALSE),"")</f>
        <v>19612.428571428572</v>
      </c>
      <c r="G341" s="65">
        <f>IFERROR(VLOOKUP(G$4,'Delayed discharges'!$T$5:$AB$17,2,FALSE),"")</f>
        <v>19325.428571428572</v>
      </c>
      <c r="H341" s="65">
        <f>IFERROR(VLOOKUP(H$4,'Delayed discharges'!$T$5:$AB$17,2,FALSE),"")</f>
        <v>16906</v>
      </c>
      <c r="I341" s="65">
        <f>IFERROR(VLOOKUP(I$4,'Delayed discharges'!$T$5:$AB$17,2,FALSE),"")</f>
        <v>19460.428571428572</v>
      </c>
      <c r="J341" s="65">
        <f>IFERROR(VLOOKUP(J$4,'Delayed discharges'!$T$5:$AB$17,2,FALSE),"")</f>
        <v>21042</v>
      </c>
      <c r="K341" s="65">
        <f>IFERROR(VLOOKUP(K$4,'Delayed discharges'!$T$5:$AB$17,2,FALSE),"")</f>
        <v>21620.142857142859</v>
      </c>
      <c r="L341" s="65">
        <f>IFERROR(VLOOKUP(L$4,'Delayed discharges'!$T$5:$AB$17,2,FALSE),"")</f>
        <v>21222.857142857141</v>
      </c>
      <c r="M341" s="65">
        <f>IFERROR(VLOOKUP(M$4,'Delayed discharges'!$T$5:$AB$17,2,FALSE),"")</f>
        <v>21632.285714285714</v>
      </c>
      <c r="N341" s="65">
        <f>IFERROR(VLOOKUP(N$4,'Delayed discharges'!$T$5:$AB$17,2,FALSE),"")</f>
        <v>21593.428571428572</v>
      </c>
      <c r="O341" s="65">
        <f>IFERROR(VLOOKUP(O$4,'Delayed discharges'!$T$5:$AB$17,2,FALSE),"")</f>
        <v>20859</v>
      </c>
      <c r="P341" s="65">
        <f>IFERROR(VLOOKUP(P$4,'Delayed discharges'!$T$5:$AB$17,2,FALSE),"")</f>
        <v>21140.857142857141</v>
      </c>
      <c r="Z341" s="198" t="s">
        <v>374</v>
      </c>
      <c r="AA341" s="198"/>
      <c r="AB341" s="198"/>
      <c r="AC341" s="198"/>
    </row>
    <row r="342" spans="2:29" x14ac:dyDescent="0.35">
      <c r="B342" s="168"/>
      <c r="C342" s="1" t="s">
        <v>1</v>
      </c>
      <c r="D342" s="157">
        <f>IFERROR(VLOOKUP(D$4,'Delayed discharges'!$T$5:$AB$17,4,FALSE),"")</f>
        <v>3011.7142857142858</v>
      </c>
      <c r="E342" s="157">
        <f>IFERROR(VLOOKUP(E$4,'Delayed discharges'!$T$5:$AB$17,4,FALSE),"")</f>
        <v>3009.2857142857142</v>
      </c>
      <c r="F342" s="157">
        <f>IFERROR(VLOOKUP(F$4,'Delayed discharges'!$T$5:$AB$17,4,FALSE),"")</f>
        <v>3052.7142857142858</v>
      </c>
      <c r="G342" s="157">
        <f>IFERROR(VLOOKUP(G$4,'Delayed discharges'!$T$5:$AB$17,4,FALSE),"")</f>
        <v>3315.2857142857142</v>
      </c>
      <c r="H342" s="157">
        <f>IFERROR(VLOOKUP(H$4,'Delayed discharges'!$T$5:$AB$17,4,FALSE),"")</f>
        <v>2999.1428571428573</v>
      </c>
      <c r="I342" s="157">
        <f>IFERROR(VLOOKUP(I$4,'Delayed discharges'!$T$5:$AB$17,4,FALSE),"")</f>
        <v>3471.5714285714284</v>
      </c>
      <c r="J342" s="157">
        <f>IFERROR(VLOOKUP(J$4,'Delayed discharges'!$T$5:$AB$17,4,FALSE),"")</f>
        <v>3652.2857142857142</v>
      </c>
      <c r="K342" s="157">
        <f>IFERROR(VLOOKUP(K$4,'Delayed discharges'!$T$5:$AB$17,4,FALSE),"")</f>
        <v>3706.8571428571427</v>
      </c>
      <c r="L342" s="157">
        <f>IFERROR(VLOOKUP(L$4,'Delayed discharges'!$T$5:$AB$17,4,FALSE),"")</f>
        <v>3658.7142857142858</v>
      </c>
      <c r="M342" s="157">
        <f>IFERROR(VLOOKUP(M$4,'Delayed discharges'!$T$5:$AB$17,4,FALSE),"")</f>
        <v>3765.2857142857142</v>
      </c>
      <c r="N342" s="157">
        <f>IFERROR(VLOOKUP(N$4,'Delayed discharges'!$T$5:$AB$17,4,FALSE),"")</f>
        <v>3647.1428571428573</v>
      </c>
      <c r="O342" s="157">
        <f>IFERROR(VLOOKUP(O$4,'Delayed discharges'!$T$5:$AB$17,4,FALSE),"")</f>
        <v>3516.4285714285716</v>
      </c>
      <c r="P342" s="157">
        <f>IFERROR(VLOOKUP(P$4,'Delayed discharges'!$T$5:$AB$17,4,FALSE),"")</f>
        <v>3564.1428571428573</v>
      </c>
      <c r="Z342" s="198"/>
      <c r="AA342" s="198"/>
      <c r="AB342" s="198"/>
      <c r="AC342" s="198"/>
    </row>
    <row r="343" spans="2:29" x14ac:dyDescent="0.35">
      <c r="B343" s="168"/>
      <c r="C343" s="1" t="s">
        <v>220</v>
      </c>
      <c r="D343" s="157">
        <f>IFERROR(VLOOKUP(D$4,'Delayed discharges'!$T$5:$AB$17,5,FALSE),"")</f>
        <v>4024.2857142857142</v>
      </c>
      <c r="E343" s="157">
        <f>IFERROR(VLOOKUP(E$4,'Delayed discharges'!$T$5:$AB$17,5,FALSE),"")</f>
        <v>3981.4285714285716</v>
      </c>
      <c r="F343" s="157">
        <f>IFERROR(VLOOKUP(F$4,'Delayed discharges'!$T$5:$AB$17,5,FALSE),"")</f>
        <v>4009.1428571428573</v>
      </c>
      <c r="G343" s="157">
        <f>IFERROR(VLOOKUP(G$4,'Delayed discharges'!$T$5:$AB$17,5,FALSE),"")</f>
        <v>3756.4285714285716</v>
      </c>
      <c r="H343" s="157">
        <f>IFERROR(VLOOKUP(H$4,'Delayed discharges'!$T$5:$AB$17,5,FALSE),"")</f>
        <v>3381.1428571428573</v>
      </c>
      <c r="I343" s="157">
        <f>IFERROR(VLOOKUP(I$4,'Delayed discharges'!$T$5:$AB$17,5,FALSE),"")</f>
        <v>3767</v>
      </c>
      <c r="J343" s="157">
        <f>IFERROR(VLOOKUP(J$4,'Delayed discharges'!$T$5:$AB$17,5,FALSE),"")</f>
        <v>4142.7142857142853</v>
      </c>
      <c r="K343" s="157">
        <f>IFERROR(VLOOKUP(K$4,'Delayed discharges'!$T$5:$AB$17,5,FALSE),"")</f>
        <v>4150.8571428571431</v>
      </c>
      <c r="L343" s="157">
        <f>IFERROR(VLOOKUP(L$4,'Delayed discharges'!$T$5:$AB$17,5,FALSE),"")</f>
        <v>3966.5714285714284</v>
      </c>
      <c r="M343" s="157">
        <f>IFERROR(VLOOKUP(M$4,'Delayed discharges'!$T$5:$AB$17,5,FALSE),"")</f>
        <v>3927.8571428571427</v>
      </c>
      <c r="N343" s="157">
        <f>IFERROR(VLOOKUP(N$4,'Delayed discharges'!$T$5:$AB$17,5,FALSE),"")</f>
        <v>4045.7142857142858</v>
      </c>
      <c r="O343" s="157">
        <f>IFERROR(VLOOKUP(O$4,'Delayed discharges'!$T$5:$AB$17,5,FALSE),"")</f>
        <v>3824.1428571428573</v>
      </c>
      <c r="P343" s="157">
        <f>IFERROR(VLOOKUP(P$4,'Delayed discharges'!$T$5:$AB$17,5,FALSE),"")</f>
        <v>3937.4285714285716</v>
      </c>
      <c r="Z343" s="198"/>
      <c r="AA343" s="198"/>
      <c r="AB343" s="198"/>
      <c r="AC343" s="198"/>
    </row>
    <row r="344" spans="2:29" x14ac:dyDescent="0.35">
      <c r="B344" s="168"/>
      <c r="C344" s="1" t="s">
        <v>248</v>
      </c>
      <c r="D344" s="157">
        <f>IFERROR(VLOOKUP(D$4,'Delayed discharges'!$T$5:$AB$17,3,FALSE),"")</f>
        <v>2380.1428571428573</v>
      </c>
      <c r="E344" s="157">
        <f>IFERROR(VLOOKUP(E$4,'Delayed discharges'!$T$5:$AB$17,3,FALSE),"")</f>
        <v>2302</v>
      </c>
      <c r="F344" s="157">
        <f>IFERROR(VLOOKUP(F$4,'Delayed discharges'!$T$5:$AB$17,3,FALSE),"")</f>
        <v>2409.1428571428573</v>
      </c>
      <c r="G344" s="157">
        <f>IFERROR(VLOOKUP(G$4,'Delayed discharges'!$T$5:$AB$17,3,FALSE),"")</f>
        <v>2200</v>
      </c>
      <c r="H344" s="157">
        <f>IFERROR(VLOOKUP(H$4,'Delayed discharges'!$T$5:$AB$17,3,FALSE),"")</f>
        <v>1957.8571428571429</v>
      </c>
      <c r="I344" s="157">
        <f>IFERROR(VLOOKUP(I$4,'Delayed discharges'!$T$5:$AB$17,3,FALSE),"")</f>
        <v>2263.8571428571427</v>
      </c>
      <c r="J344" s="157">
        <f>IFERROR(VLOOKUP(J$4,'Delayed discharges'!$T$5:$AB$17,3,FALSE),"")</f>
        <v>2349.5714285714284</v>
      </c>
      <c r="K344" s="157">
        <f>IFERROR(VLOOKUP(K$4,'Delayed discharges'!$T$5:$AB$17,3,FALSE),"")</f>
        <v>2309.4285714285716</v>
      </c>
      <c r="L344" s="157">
        <f>IFERROR(VLOOKUP(L$4,'Delayed discharges'!$T$5:$AB$17,3,FALSE),"")</f>
        <v>2221.8571428571427</v>
      </c>
      <c r="M344" s="157">
        <f>IFERROR(VLOOKUP(M$4,'Delayed discharges'!$T$5:$AB$17,3,FALSE),"")</f>
        <v>2221</v>
      </c>
      <c r="N344" s="157">
        <f>IFERROR(VLOOKUP(N$4,'Delayed discharges'!$T$5:$AB$17,3,FALSE),"")</f>
        <v>2213.8571428571427</v>
      </c>
      <c r="O344" s="157">
        <f>IFERROR(VLOOKUP(O$4,'Delayed discharges'!$T$5:$AB$17,3,FALSE),"")</f>
        <v>2145.8571428571427</v>
      </c>
      <c r="P344" s="157">
        <f>IFERROR(VLOOKUP(P$4,'Delayed discharges'!$T$5:$AB$17,3,FALSE),"")</f>
        <v>2234.1428571428573</v>
      </c>
      <c r="Z344" s="198"/>
      <c r="AA344" s="198"/>
      <c r="AB344" s="198"/>
      <c r="AC344" s="198"/>
    </row>
    <row r="345" spans="2:29" x14ac:dyDescent="0.35">
      <c r="B345" s="168"/>
      <c r="C345" s="1" t="s">
        <v>249</v>
      </c>
      <c r="D345" s="157">
        <f>IFERROR(VLOOKUP(D$4,'Delayed discharges'!$T$5:$AB$17,6,FALSE),"")</f>
        <v>2604.1428571428573</v>
      </c>
      <c r="E345" s="157">
        <f>IFERROR(VLOOKUP(E$4,'Delayed discharges'!$T$5:$AB$17,6,FALSE),"")</f>
        <v>2805.5714285714284</v>
      </c>
      <c r="F345" s="157">
        <f>IFERROR(VLOOKUP(F$4,'Delayed discharges'!$T$5:$AB$17,6,FALSE),"")</f>
        <v>2834.8571428571427</v>
      </c>
      <c r="G345" s="157">
        <f>IFERROR(VLOOKUP(G$4,'Delayed discharges'!$T$5:$AB$17,6,FALSE),"")</f>
        <v>2770.7142857142858</v>
      </c>
      <c r="H345" s="157">
        <f>IFERROR(VLOOKUP(H$4,'Delayed discharges'!$T$5:$AB$17,6,FALSE),"")</f>
        <v>2366.7142857142858</v>
      </c>
      <c r="I345" s="157">
        <f>IFERROR(VLOOKUP(I$4,'Delayed discharges'!$T$5:$AB$17,6,FALSE),"")</f>
        <v>2748.4285714285716</v>
      </c>
      <c r="J345" s="157">
        <f>IFERROR(VLOOKUP(J$4,'Delayed discharges'!$T$5:$AB$17,6,FALSE),"")</f>
        <v>2992</v>
      </c>
      <c r="K345" s="157">
        <f>IFERROR(VLOOKUP(K$4,'Delayed discharges'!$T$5:$AB$17,6,FALSE),"")</f>
        <v>3253.7142857142858</v>
      </c>
      <c r="L345" s="157">
        <f>IFERROR(VLOOKUP(L$4,'Delayed discharges'!$T$5:$AB$17,6,FALSE),"")</f>
        <v>3364.2857142857142</v>
      </c>
      <c r="M345" s="157">
        <f>IFERROR(VLOOKUP(M$4,'Delayed discharges'!$T$5:$AB$17,6,FALSE),"")</f>
        <v>3341.8571428571427</v>
      </c>
      <c r="N345" s="157">
        <f>IFERROR(VLOOKUP(N$4,'Delayed discharges'!$T$5:$AB$17,6,FALSE),"")</f>
        <v>3416.8571428571427</v>
      </c>
      <c r="O345" s="157">
        <f>IFERROR(VLOOKUP(O$4,'Delayed discharges'!$T$5:$AB$17,6,FALSE),"")</f>
        <v>3203.5714285714284</v>
      </c>
      <c r="P345" s="157">
        <f>IFERROR(VLOOKUP(P$4,'Delayed discharges'!$T$5:$AB$17,6,FALSE),"")</f>
        <v>3262.7142857142858</v>
      </c>
      <c r="Z345" s="197" t="s">
        <v>375</v>
      </c>
      <c r="AA345" s="197"/>
      <c r="AB345" s="197"/>
      <c r="AC345" s="197"/>
    </row>
    <row r="346" spans="2:29" x14ac:dyDescent="0.35">
      <c r="B346" s="168"/>
      <c r="C346" s="1" t="s">
        <v>251</v>
      </c>
      <c r="D346" s="157">
        <f>IFERROR(VLOOKUP(D$4,'Delayed discharges'!$T$5:$AB$17,7,FALSE),"")</f>
        <v>2676.1428571428573</v>
      </c>
      <c r="E346" s="157">
        <f>IFERROR(VLOOKUP(E$4,'Delayed discharges'!$T$5:$AB$17,7,FALSE),"")</f>
        <v>2569.4285714285716</v>
      </c>
      <c r="F346" s="157">
        <f>IFERROR(VLOOKUP(F$4,'Delayed discharges'!$T$5:$AB$17,7,FALSE),"")</f>
        <v>2656</v>
      </c>
      <c r="G346" s="157">
        <f>IFERROR(VLOOKUP(G$4,'Delayed discharges'!$T$5:$AB$17,7,FALSE),"")</f>
        <v>2612.2857142857142</v>
      </c>
      <c r="H346" s="157">
        <f>IFERROR(VLOOKUP(H$4,'Delayed discharges'!$T$5:$AB$17,7,FALSE),"")</f>
        <v>2212.2857142857142</v>
      </c>
      <c r="I346" s="157">
        <f>IFERROR(VLOOKUP(I$4,'Delayed discharges'!$T$5:$AB$17,7,FALSE),"")</f>
        <v>2575.8571428571427</v>
      </c>
      <c r="J346" s="157">
        <f>IFERROR(VLOOKUP(J$4,'Delayed discharges'!$T$5:$AB$17,7,FALSE),"")</f>
        <v>2723.2857142857142</v>
      </c>
      <c r="K346" s="157">
        <f>IFERROR(VLOOKUP(K$4,'Delayed discharges'!$T$5:$AB$17,7,FALSE),"")</f>
        <v>2821.7142857142858</v>
      </c>
      <c r="L346" s="157">
        <f>IFERROR(VLOOKUP(L$4,'Delayed discharges'!$T$5:$AB$17,7,FALSE),"")</f>
        <v>2891.7142857142858</v>
      </c>
      <c r="M346" s="157">
        <f>IFERROR(VLOOKUP(M$4,'Delayed discharges'!$T$5:$AB$17,7,FALSE),"")</f>
        <v>2952.1428571428573</v>
      </c>
      <c r="N346" s="157">
        <f>IFERROR(VLOOKUP(N$4,'Delayed discharges'!$T$5:$AB$17,7,FALSE),"")</f>
        <v>2920.7142857142858</v>
      </c>
      <c r="O346" s="157">
        <f>IFERROR(VLOOKUP(O$4,'Delayed discharges'!$T$5:$AB$17,7,FALSE),"")</f>
        <v>2896.5714285714284</v>
      </c>
      <c r="P346" s="157">
        <f>IFERROR(VLOOKUP(P$4,'Delayed discharges'!$T$5:$AB$17,7,FALSE),"")</f>
        <v>2891.5714285714284</v>
      </c>
      <c r="Z346" s="197"/>
      <c r="AA346" s="197"/>
      <c r="AB346" s="197"/>
      <c r="AC346" s="197"/>
    </row>
    <row r="347" spans="2:29" x14ac:dyDescent="0.35">
      <c r="B347" s="168"/>
      <c r="C347" s="1" t="s">
        <v>221</v>
      </c>
      <c r="D347" s="157">
        <f>IFERROR(VLOOKUP(D$4,'Delayed discharges'!$T$5:$AB$17,8,FALSE),"")</f>
        <v>1765.1428571428571</v>
      </c>
      <c r="E347" s="157">
        <f>IFERROR(VLOOKUP(E$4,'Delayed discharges'!$T$5:$AB$17,8,FALSE),"")</f>
        <v>1973.2857142857142</v>
      </c>
      <c r="F347" s="157">
        <f>IFERROR(VLOOKUP(F$4,'Delayed discharges'!$T$5:$AB$17,8,FALSE),"")</f>
        <v>1945.7142857142858</v>
      </c>
      <c r="G347" s="157">
        <f>IFERROR(VLOOKUP(G$4,'Delayed discharges'!$T$5:$AB$17,8,FALSE),"")</f>
        <v>1899.5714285714287</v>
      </c>
      <c r="H347" s="157">
        <f>IFERROR(VLOOKUP(H$4,'Delayed discharges'!$T$5:$AB$17,8,FALSE),"")</f>
        <v>1599.5714285714287</v>
      </c>
      <c r="I347" s="157">
        <f>IFERROR(VLOOKUP(I$4,'Delayed discharges'!$T$5:$AB$17,8,FALSE),"")</f>
        <v>1848.1428571428571</v>
      </c>
      <c r="J347" s="157">
        <f>IFERROR(VLOOKUP(J$4,'Delayed discharges'!$T$5:$AB$17,8,FALSE),"")</f>
        <v>1991.7142857142858</v>
      </c>
      <c r="K347" s="157">
        <f>IFERROR(VLOOKUP(K$4,'Delayed discharges'!$T$5:$AB$17,8,FALSE),"")</f>
        <v>2020.7142857142858</v>
      </c>
      <c r="L347" s="157">
        <f>IFERROR(VLOOKUP(L$4,'Delayed discharges'!$T$5:$AB$17,8,FALSE),"")</f>
        <v>1817.5714285714287</v>
      </c>
      <c r="M347" s="157">
        <f>IFERROR(VLOOKUP(M$4,'Delayed discharges'!$T$5:$AB$17,8,FALSE),"")</f>
        <v>2052.5714285714284</v>
      </c>
      <c r="N347" s="157">
        <f>IFERROR(VLOOKUP(N$4,'Delayed discharges'!$T$5:$AB$17,8,FALSE),"")</f>
        <v>1998.7142857142858</v>
      </c>
      <c r="O347" s="157">
        <f>IFERROR(VLOOKUP(O$4,'Delayed discharges'!$T$5:$AB$17,8,FALSE),"")</f>
        <v>2088</v>
      </c>
      <c r="P347" s="157">
        <f>IFERROR(VLOOKUP(P$4,'Delayed discharges'!$T$5:$AB$17,8,FALSE),"")</f>
        <v>2048.8571428571427</v>
      </c>
      <c r="Z347" s="197"/>
      <c r="AA347" s="197"/>
      <c r="AB347" s="197"/>
      <c r="AC347" s="197"/>
    </row>
    <row r="348" spans="2:29" x14ac:dyDescent="0.35">
      <c r="B348" s="168"/>
      <c r="C348" s="1" t="s">
        <v>222</v>
      </c>
      <c r="D348" s="157">
        <f>IFERROR(VLOOKUP(D$4,'Delayed discharges'!$T$5:$AB$17,9,FALSE),"")</f>
        <v>2589.8571428571427</v>
      </c>
      <c r="E348" s="157">
        <f>IFERROR(VLOOKUP(E$4,'Delayed discharges'!$T$5:$AB$17,9,FALSE),"")</f>
        <v>2648.1428571428573</v>
      </c>
      <c r="F348" s="157">
        <f>IFERROR(VLOOKUP(F$4,'Delayed discharges'!$T$5:$AB$17,9,FALSE),"")</f>
        <v>2704.8571428571427</v>
      </c>
      <c r="G348" s="157">
        <f>IFERROR(VLOOKUP(G$4,'Delayed discharges'!$T$5:$AB$17,9,FALSE),"")</f>
        <v>2771.1428571428573</v>
      </c>
      <c r="H348" s="157">
        <f>IFERROR(VLOOKUP(H$4,'Delayed discharges'!$T$5:$AB$17,9,FALSE),"")</f>
        <v>2389.2857142857142</v>
      </c>
      <c r="I348" s="157">
        <f>IFERROR(VLOOKUP(I$4,'Delayed discharges'!$T$5:$AB$17,9,FALSE),"")</f>
        <v>2785.5714285714284</v>
      </c>
      <c r="J348" s="157">
        <f>IFERROR(VLOOKUP(J$4,'Delayed discharges'!$T$5:$AB$17,9,FALSE),"")</f>
        <v>3190.4285714285716</v>
      </c>
      <c r="K348" s="157">
        <f>IFERROR(VLOOKUP(K$4,'Delayed discharges'!$T$5:$AB$17,9,FALSE),"")</f>
        <v>3356.8571428571427</v>
      </c>
      <c r="L348" s="157">
        <f>IFERROR(VLOOKUP(L$4,'Delayed discharges'!$T$5:$AB$17,9,FALSE),"")</f>
        <v>3302.1428571428573</v>
      </c>
      <c r="M348" s="157">
        <f>IFERROR(VLOOKUP(M$4,'Delayed discharges'!$T$5:$AB$17,9,FALSE),"")</f>
        <v>3371.5714285714284</v>
      </c>
      <c r="N348" s="157">
        <f>IFERROR(VLOOKUP(N$4,'Delayed discharges'!$T$5:$AB$17,9,FALSE),"")</f>
        <v>3350.4285714285716</v>
      </c>
      <c r="O348" s="157">
        <f>IFERROR(VLOOKUP(O$4,'Delayed discharges'!$T$5:$AB$17,9,FALSE),"")</f>
        <v>3184.4285714285716</v>
      </c>
      <c r="P348" s="157">
        <f>IFERROR(VLOOKUP(P$4,'Delayed discharges'!$T$5:$AB$17,9,FALSE),"")</f>
        <v>3202</v>
      </c>
      <c r="Z348" s="197"/>
      <c r="AA348" s="197"/>
      <c r="AB348" s="197"/>
      <c r="AC348" s="197"/>
    </row>
    <row r="349" spans="2:29" x14ac:dyDescent="0.35">
      <c r="B349" s="168"/>
    </row>
    <row r="350" spans="2:29" x14ac:dyDescent="0.35">
      <c r="B350" s="168"/>
    </row>
    <row r="351" spans="2:29" ht="43.5" x14ac:dyDescent="0.35">
      <c r="B351" s="168"/>
      <c r="C351" s="165" t="s">
        <v>373</v>
      </c>
    </row>
    <row r="352" spans="2:29" ht="14.5" customHeight="1" x14ac:dyDescent="0.35">
      <c r="B352" s="168"/>
      <c r="C352" s="16" t="s">
        <v>295</v>
      </c>
      <c r="D352" s="65">
        <f>IFERROR(VLOOKUP(D$4,'Delayed discharges'!$BW$5:$CE$17,2,FALSE),"")</f>
        <v>10457.285714285714</v>
      </c>
      <c r="E352" s="65">
        <f>IFERROR(VLOOKUP(E$4,'Delayed discharges'!$BW$5:$CE$17,2,FALSE),"")</f>
        <v>10521.285714285714</v>
      </c>
      <c r="F352" s="65">
        <f>IFERROR(VLOOKUP(F$4,'Delayed discharges'!$BW$5:$CE$17,2,FALSE),"")</f>
        <v>10706.714285714286</v>
      </c>
      <c r="G352" s="65">
        <f>IFERROR(VLOOKUP(G$4,'Delayed discharges'!$BW$5:$CE$17,2,FALSE),"")</f>
        <v>9959</v>
      </c>
      <c r="H352" s="65">
        <f>IFERROR(VLOOKUP(H$4,'Delayed discharges'!$BW$5:$CE$17,2,FALSE),"")</f>
        <v>9865.7142857142862</v>
      </c>
      <c r="I352" s="65">
        <f>IFERROR(VLOOKUP(I$4,'Delayed discharges'!$BW$5:$CE$17,2,FALSE),"")</f>
        <v>11805.714285714286</v>
      </c>
      <c r="J352" s="65">
        <f>IFERROR(VLOOKUP(J$4,'Delayed discharges'!$BW$5:$CE$17,2,FALSE),"")</f>
        <v>12511.571428571429</v>
      </c>
      <c r="K352" s="65">
        <f>IFERROR(VLOOKUP(K$4,'Delayed discharges'!$BW$5:$CE$17,2,FALSE),"")</f>
        <v>12833.571428571429</v>
      </c>
      <c r="L352" s="65">
        <f>IFERROR(VLOOKUP(L$4,'Delayed discharges'!$BW$5:$CE$17,2,FALSE),"")</f>
        <v>12273.428571428571</v>
      </c>
      <c r="M352" s="65">
        <f>IFERROR(VLOOKUP(M$4,'Delayed discharges'!$BW$5:$CE$17,2,FALSE),"")</f>
        <v>12400.142857142857</v>
      </c>
      <c r="N352" s="65">
        <f>IFERROR(VLOOKUP(N$4,'Delayed discharges'!$BW$5:$CE$17,2,FALSE),"")</f>
        <v>12179.857142857143</v>
      </c>
      <c r="O352" s="65">
        <f>IFERROR(VLOOKUP(O$4,'Delayed discharges'!$BW$5:$CE$17,2,FALSE),"")</f>
        <v>11802.428571428571</v>
      </c>
      <c r="P352" s="65">
        <f>IFERROR(VLOOKUP(P$4,'Delayed discharges'!$BW$5:$CE$17,2,FALSE),"")</f>
        <v>11772.285714285714</v>
      </c>
      <c r="Z352" s="169" t="s">
        <v>377</v>
      </c>
      <c r="AA352" s="169"/>
      <c r="AB352" s="169"/>
      <c r="AC352" s="169"/>
    </row>
    <row r="353" spans="2:29" x14ac:dyDescent="0.35">
      <c r="B353" s="168"/>
      <c r="C353" s="1" t="s">
        <v>1</v>
      </c>
      <c r="D353" s="157">
        <f>IFERROR(VLOOKUP(D$4,'Delayed discharges'!$BW$5:$CE$17,4,FALSE),"")</f>
        <v>1394.7142857142858</v>
      </c>
      <c r="E353" s="157">
        <f>IFERROR(VLOOKUP(E$4,'Delayed discharges'!$BW$5:$CE$17,4,FALSE),"")</f>
        <v>1416.5714285714287</v>
      </c>
      <c r="F353" s="157">
        <f>IFERROR(VLOOKUP(F$4,'Delayed discharges'!$BW$5:$CE$17,4,FALSE),"")</f>
        <v>1432.5714285714287</v>
      </c>
      <c r="G353" s="157">
        <f>IFERROR(VLOOKUP(G$4,'Delayed discharges'!$BW$5:$CE$17,4,FALSE),"")</f>
        <v>1544.5714285714287</v>
      </c>
      <c r="H353" s="157">
        <f>IFERROR(VLOOKUP(H$4,'Delayed discharges'!$BW$5:$CE$17,4,FALSE),"")</f>
        <v>1699.7142857142858</v>
      </c>
      <c r="I353" s="157">
        <f>IFERROR(VLOOKUP(I$4,'Delayed discharges'!$BW$5:$CE$17,4,FALSE),"")</f>
        <v>2052.5714285714284</v>
      </c>
      <c r="J353" s="157">
        <f>IFERROR(VLOOKUP(J$4,'Delayed discharges'!$BW$5:$CE$17,4,FALSE),"")</f>
        <v>2042.2857142857142</v>
      </c>
      <c r="K353" s="157">
        <f>IFERROR(VLOOKUP(K$4,'Delayed discharges'!$BW$5:$CE$17,4,FALSE),"")</f>
        <v>2111</v>
      </c>
      <c r="L353" s="157">
        <f>IFERROR(VLOOKUP(L$4,'Delayed discharges'!$BW$5:$CE$17,4,FALSE),"")</f>
        <v>1964.4285714285713</v>
      </c>
      <c r="M353" s="157">
        <f>IFERROR(VLOOKUP(M$4,'Delayed discharges'!$BW$5:$CE$17,4,FALSE),"")</f>
        <v>1981.8571428571429</v>
      </c>
      <c r="N353" s="157">
        <f>IFERROR(VLOOKUP(N$4,'Delayed discharges'!$BW$5:$CE$17,4,FALSE),"")</f>
        <v>1924.8571428571429</v>
      </c>
      <c r="O353" s="157">
        <f>IFERROR(VLOOKUP(O$4,'Delayed discharges'!$BW$5:$CE$17,4,FALSE),"")</f>
        <v>1815.7142857142858</v>
      </c>
      <c r="P353" s="157">
        <f>IFERROR(VLOOKUP(P$4,'Delayed discharges'!$BW$5:$CE$17,4,FALSE),"")</f>
        <v>1818.7142857142858</v>
      </c>
      <c r="Z353" s="169"/>
      <c r="AA353" s="169"/>
      <c r="AB353" s="169"/>
      <c r="AC353" s="169"/>
    </row>
    <row r="354" spans="2:29" x14ac:dyDescent="0.35">
      <c r="B354" s="168"/>
      <c r="C354" s="1" t="s">
        <v>220</v>
      </c>
      <c r="D354" s="157">
        <f>IFERROR(VLOOKUP(D$4,'Delayed discharges'!$BW$5:$CE$17,5,FALSE),"")</f>
        <v>2439.8571428571427</v>
      </c>
      <c r="E354" s="157">
        <f>IFERROR(VLOOKUP(E$4,'Delayed discharges'!$BW$5:$CE$17,5,FALSE),"")</f>
        <v>2381.2857142857142</v>
      </c>
      <c r="F354" s="157">
        <f>IFERROR(VLOOKUP(F$4,'Delayed discharges'!$BW$5:$CE$17,5,FALSE),"")</f>
        <v>2367</v>
      </c>
      <c r="G354" s="157">
        <f>IFERROR(VLOOKUP(G$4,'Delayed discharges'!$BW$5:$CE$17,5,FALSE),"")</f>
        <v>2070.4285714285716</v>
      </c>
      <c r="H354" s="157">
        <f>IFERROR(VLOOKUP(H$4,'Delayed discharges'!$BW$5:$CE$17,5,FALSE),"")</f>
        <v>2022.4285714285713</v>
      </c>
      <c r="I354" s="157">
        <f>IFERROR(VLOOKUP(I$4,'Delayed discharges'!$BW$5:$CE$17,5,FALSE),"")</f>
        <v>2496.5714285714284</v>
      </c>
      <c r="J354" s="157">
        <f>IFERROR(VLOOKUP(J$4,'Delayed discharges'!$BW$5:$CE$17,5,FALSE),"")</f>
        <v>2648.5714285714284</v>
      </c>
      <c r="K354" s="157">
        <f>IFERROR(VLOOKUP(K$4,'Delayed discharges'!$BW$5:$CE$17,5,FALSE),"")</f>
        <v>2601.5714285714284</v>
      </c>
      <c r="L354" s="157">
        <f>IFERROR(VLOOKUP(L$4,'Delayed discharges'!$BW$5:$CE$17,5,FALSE),"")</f>
        <v>2356.5714285714284</v>
      </c>
      <c r="M354" s="157">
        <f>IFERROR(VLOOKUP(M$4,'Delayed discharges'!$BW$5:$CE$17,5,FALSE),"")</f>
        <v>2221.8571428571427</v>
      </c>
      <c r="N354" s="157">
        <f>IFERROR(VLOOKUP(N$4,'Delayed discharges'!$BW$5:$CE$17,5,FALSE),"")</f>
        <v>2239.8571428571427</v>
      </c>
      <c r="O354" s="157">
        <f>IFERROR(VLOOKUP(O$4,'Delayed discharges'!$BW$5:$CE$17,5,FALSE),"")</f>
        <v>2084.2857142857142</v>
      </c>
      <c r="P354" s="157">
        <f>IFERROR(VLOOKUP(P$4,'Delayed discharges'!$BW$5:$CE$17,5,FALSE),"")</f>
        <v>2131</v>
      </c>
      <c r="Z354" s="169"/>
      <c r="AA354" s="169"/>
      <c r="AB354" s="169"/>
      <c r="AC354" s="169"/>
    </row>
    <row r="355" spans="2:29" x14ac:dyDescent="0.35">
      <c r="B355" s="168"/>
      <c r="C355" s="1" t="s">
        <v>248</v>
      </c>
      <c r="D355" s="157">
        <f>IFERROR(VLOOKUP(D$4,'Delayed discharges'!$BW$5:$CE$17,3,FALSE),"")</f>
        <v>1322.5714285714287</v>
      </c>
      <c r="E355" s="157">
        <f>IFERROR(VLOOKUP(E$4,'Delayed discharges'!$BW$5:$CE$17,3,FALSE),"")</f>
        <v>1283.8571428571429</v>
      </c>
      <c r="F355" s="157">
        <f>IFERROR(VLOOKUP(F$4,'Delayed discharges'!$BW$5:$CE$17,3,FALSE),"")</f>
        <v>1387.2857142857142</v>
      </c>
      <c r="G355" s="157">
        <f>IFERROR(VLOOKUP(G$4,'Delayed discharges'!$BW$5:$CE$17,3,FALSE),"")</f>
        <v>1132</v>
      </c>
      <c r="H355" s="157">
        <f>IFERROR(VLOOKUP(H$4,'Delayed discharges'!$BW$5:$CE$17,3,FALSE),"")</f>
        <v>1123.5714285714287</v>
      </c>
      <c r="I355" s="157">
        <f>IFERROR(VLOOKUP(I$4,'Delayed discharges'!$BW$5:$CE$17,3,FALSE),"")</f>
        <v>1276.4285714285713</v>
      </c>
      <c r="J355" s="157">
        <f>IFERROR(VLOOKUP(J$4,'Delayed discharges'!$BW$5:$CE$17,3,FALSE),"")</f>
        <v>1212.5714285714287</v>
      </c>
      <c r="K355" s="157">
        <f>IFERROR(VLOOKUP(K$4,'Delayed discharges'!$BW$5:$CE$17,3,FALSE),"")</f>
        <v>1117.7142857142858</v>
      </c>
      <c r="L355" s="157">
        <f>IFERROR(VLOOKUP(L$4,'Delayed discharges'!$BW$5:$CE$17,3,FALSE),"")</f>
        <v>1069.1428571428571</v>
      </c>
      <c r="M355" s="157">
        <f>IFERROR(VLOOKUP(M$4,'Delayed discharges'!$BW$5:$CE$17,3,FALSE),"")</f>
        <v>991.14285714285711</v>
      </c>
      <c r="N355" s="157">
        <f>IFERROR(VLOOKUP(N$4,'Delayed discharges'!$BW$5:$CE$17,3,FALSE),"")</f>
        <v>1006</v>
      </c>
      <c r="O355" s="157">
        <f>IFERROR(VLOOKUP(O$4,'Delayed discharges'!$BW$5:$CE$17,3,FALSE),"")</f>
        <v>982.28571428571433</v>
      </c>
      <c r="P355" s="157">
        <f>IFERROR(VLOOKUP(P$4,'Delayed discharges'!$BW$5:$CE$17,3,FALSE),"")</f>
        <v>1017.8571428571429</v>
      </c>
      <c r="Z355" s="169"/>
      <c r="AA355" s="169"/>
      <c r="AB355" s="169"/>
      <c r="AC355" s="169"/>
    </row>
    <row r="356" spans="2:29" ht="14.5" customHeight="1" x14ac:dyDescent="0.35">
      <c r="B356" s="168"/>
      <c r="C356" s="1" t="s">
        <v>249</v>
      </c>
      <c r="D356" s="157">
        <f>IFERROR(VLOOKUP(D$4,'Delayed discharges'!$BW$5:$CE$17,6,FALSE),"")</f>
        <v>1315</v>
      </c>
      <c r="E356" s="157">
        <f>IFERROR(VLOOKUP(E$4,'Delayed discharges'!$BW$5:$CE$17,6,FALSE),"")</f>
        <v>1350.5714285714287</v>
      </c>
      <c r="F356" s="157">
        <f>IFERROR(VLOOKUP(F$4,'Delayed discharges'!$BW$5:$CE$17,6,FALSE),"")</f>
        <v>1354.2857142857142</v>
      </c>
      <c r="G356" s="157">
        <f>IFERROR(VLOOKUP(G$4,'Delayed discharges'!$BW$5:$CE$17,6,FALSE),"")</f>
        <v>1233.2857142857142</v>
      </c>
      <c r="H356" s="157">
        <f>IFERROR(VLOOKUP(H$4,'Delayed discharges'!$BW$5:$CE$17,6,FALSE),"")</f>
        <v>1217.4285714285713</v>
      </c>
      <c r="I356" s="157">
        <f>IFERROR(VLOOKUP(I$4,'Delayed discharges'!$BW$5:$CE$17,6,FALSE),"")</f>
        <v>1414.5714285714287</v>
      </c>
      <c r="J356" s="157">
        <f>IFERROR(VLOOKUP(J$4,'Delayed discharges'!$BW$5:$CE$17,6,FALSE),"")</f>
        <v>1526.1428571428571</v>
      </c>
      <c r="K356" s="157">
        <f>IFERROR(VLOOKUP(K$4,'Delayed discharges'!$BW$5:$CE$17,6,FALSE),"")</f>
        <v>1751.4285714285713</v>
      </c>
      <c r="L356" s="157">
        <f>IFERROR(VLOOKUP(L$4,'Delayed discharges'!$BW$5:$CE$17,6,FALSE),"")</f>
        <v>1860</v>
      </c>
      <c r="M356" s="157">
        <f>IFERROR(VLOOKUP(M$4,'Delayed discharges'!$BW$5:$CE$17,6,FALSE),"")</f>
        <v>1854.4285714285713</v>
      </c>
      <c r="N356" s="157">
        <f>IFERROR(VLOOKUP(N$4,'Delayed discharges'!$BW$5:$CE$17,6,FALSE),"")</f>
        <v>1893.7142857142858</v>
      </c>
      <c r="O356" s="157">
        <f>IFERROR(VLOOKUP(O$4,'Delayed discharges'!$BW$5:$CE$17,6,FALSE),"")</f>
        <v>1837.8571428571429</v>
      </c>
      <c r="P356" s="157">
        <f>IFERROR(VLOOKUP(P$4,'Delayed discharges'!$BW$5:$CE$17,6,FALSE),"")</f>
        <v>1823.4285714285713</v>
      </c>
      <c r="Z356" s="197" t="s">
        <v>376</v>
      </c>
      <c r="AA356" s="197"/>
      <c r="AB356" s="197"/>
      <c r="AC356" s="197"/>
    </row>
    <row r="357" spans="2:29" x14ac:dyDescent="0.35">
      <c r="B357" s="168"/>
      <c r="C357" s="1" t="s">
        <v>251</v>
      </c>
      <c r="D357" s="157">
        <f>IFERROR(VLOOKUP(D$4,'Delayed discharges'!$BW$5:$CE$17,7,FALSE),"")</f>
        <v>1696.4285714285713</v>
      </c>
      <c r="E357" s="157">
        <f>IFERROR(VLOOKUP(E$4,'Delayed discharges'!$BW$5:$CE$17,7,FALSE),"")</f>
        <v>1660.2857142857142</v>
      </c>
      <c r="F357" s="157">
        <f>IFERROR(VLOOKUP(F$4,'Delayed discharges'!$BW$5:$CE$17,7,FALSE),"")</f>
        <v>1740.8571428571429</v>
      </c>
      <c r="G357" s="157">
        <f>IFERROR(VLOOKUP(G$4,'Delayed discharges'!$BW$5:$CE$17,7,FALSE),"")</f>
        <v>1612.5714285714287</v>
      </c>
      <c r="H357" s="157">
        <f>IFERROR(VLOOKUP(H$4,'Delayed discharges'!$BW$5:$CE$17,7,FALSE),"")</f>
        <v>1466.7142857142858</v>
      </c>
      <c r="I357" s="157">
        <f>IFERROR(VLOOKUP(I$4,'Delayed discharges'!$BW$5:$CE$17,7,FALSE),"")</f>
        <v>1765.8571428571429</v>
      </c>
      <c r="J357" s="157">
        <f>IFERROR(VLOOKUP(J$4,'Delayed discharges'!$BW$5:$CE$17,7,FALSE),"")</f>
        <v>1851.1428571428571</v>
      </c>
      <c r="K357" s="157">
        <f>IFERROR(VLOOKUP(K$4,'Delayed discharges'!$BW$5:$CE$17,7,FALSE),"")</f>
        <v>1906</v>
      </c>
      <c r="L357" s="157">
        <f>IFERROR(VLOOKUP(L$4,'Delayed discharges'!$BW$5:$CE$17,7,FALSE),"")</f>
        <v>1941</v>
      </c>
      <c r="M357" s="157">
        <f>IFERROR(VLOOKUP(M$4,'Delayed discharges'!$BW$5:$CE$17,7,FALSE),"")</f>
        <v>1983.5714285714287</v>
      </c>
      <c r="N357" s="157">
        <f>IFERROR(VLOOKUP(N$4,'Delayed discharges'!$BW$5:$CE$17,7,FALSE),"")</f>
        <v>1940.1428571428571</v>
      </c>
      <c r="O357" s="157">
        <f>IFERROR(VLOOKUP(O$4,'Delayed discharges'!$BW$5:$CE$17,7,FALSE),"")</f>
        <v>1970.1428571428571</v>
      </c>
      <c r="P357" s="157">
        <f>IFERROR(VLOOKUP(P$4,'Delayed discharges'!$BW$5:$CE$17,7,FALSE),"")</f>
        <v>1937.2857142857142</v>
      </c>
      <c r="Z357" s="197"/>
      <c r="AA357" s="197"/>
      <c r="AB357" s="197"/>
      <c r="AC357" s="197"/>
    </row>
    <row r="358" spans="2:29" x14ac:dyDescent="0.35">
      <c r="B358" s="168"/>
      <c r="C358" s="1" t="s">
        <v>221</v>
      </c>
      <c r="D358" s="157">
        <f>IFERROR(VLOOKUP(D$4,'Delayed discharges'!$BW$5:$CE$17,8,FALSE),"")</f>
        <v>731.71428571428567</v>
      </c>
      <c r="E358" s="157">
        <f>IFERROR(VLOOKUP(E$4,'Delayed discharges'!$BW$5:$CE$17,8,FALSE),"")</f>
        <v>899.85714285714289</v>
      </c>
      <c r="F358" s="157">
        <f>IFERROR(VLOOKUP(F$4,'Delayed discharges'!$BW$5:$CE$17,8,FALSE),"")</f>
        <v>856.28571428571433</v>
      </c>
      <c r="G358" s="157">
        <f>IFERROR(VLOOKUP(G$4,'Delayed discharges'!$BW$5:$CE$17,8,FALSE),"")</f>
        <v>813.85714285714289</v>
      </c>
      <c r="H358" s="157">
        <f>IFERROR(VLOOKUP(H$4,'Delayed discharges'!$BW$5:$CE$17,8,FALSE),"")</f>
        <v>797.14285714285711</v>
      </c>
      <c r="I358" s="157">
        <f>IFERROR(VLOOKUP(I$4,'Delayed discharges'!$BW$5:$CE$17,8,FALSE),"")</f>
        <v>910.14285714285711</v>
      </c>
      <c r="J358" s="157">
        <f>IFERROR(VLOOKUP(J$4,'Delayed discharges'!$BW$5:$CE$17,8,FALSE),"")</f>
        <v>1064.7142857142858</v>
      </c>
      <c r="K358" s="157">
        <f>IFERROR(VLOOKUP(K$4,'Delayed discharges'!$BW$5:$CE$17,8,FALSE),"")</f>
        <v>1067.8571428571429</v>
      </c>
      <c r="L358" s="157">
        <f>IFERROR(VLOOKUP(L$4,'Delayed discharges'!$BW$5:$CE$17,8,FALSE),"")</f>
        <v>894.42857142857144</v>
      </c>
      <c r="M358" s="157">
        <f>IFERROR(VLOOKUP(M$4,'Delayed discharges'!$BW$5:$CE$17,8,FALSE),"")</f>
        <v>1098.7142857142858</v>
      </c>
      <c r="N358" s="157">
        <f>IFERROR(VLOOKUP(N$4,'Delayed discharges'!$BW$5:$CE$17,8,FALSE),"")</f>
        <v>996.42857142857144</v>
      </c>
      <c r="O358" s="157">
        <f>IFERROR(VLOOKUP(O$4,'Delayed discharges'!$BW$5:$CE$17,8,FALSE),"")</f>
        <v>1062.2857142857142</v>
      </c>
      <c r="P358" s="157">
        <f>IFERROR(VLOOKUP(P$4,'Delayed discharges'!$BW$5:$CE$17,8,FALSE),"")</f>
        <v>1024.8571428571429</v>
      </c>
      <c r="Z358" s="197"/>
      <c r="AA358" s="197"/>
      <c r="AB358" s="197"/>
      <c r="AC358" s="197"/>
    </row>
    <row r="359" spans="2:29" x14ac:dyDescent="0.35">
      <c r="B359" s="168"/>
      <c r="C359" s="1" t="s">
        <v>222</v>
      </c>
      <c r="D359" s="157">
        <f>IFERROR(VLOOKUP(D$4,'Delayed discharges'!$BW$5:$CE$17,9,FALSE),"")</f>
        <v>1557</v>
      </c>
      <c r="E359" s="157">
        <f>IFERROR(VLOOKUP(E$4,'Delayed discharges'!$BW$5:$CE$17,9,FALSE),"")</f>
        <v>1528.8571428571429</v>
      </c>
      <c r="F359" s="157">
        <f>IFERROR(VLOOKUP(F$4,'Delayed discharges'!$BW$5:$CE$17,9,FALSE),"")</f>
        <v>1568.4285714285713</v>
      </c>
      <c r="G359" s="157">
        <f>IFERROR(VLOOKUP(G$4,'Delayed discharges'!$BW$5:$CE$17,9,FALSE),"")</f>
        <v>1552.2857142857142</v>
      </c>
      <c r="H359" s="157">
        <f>IFERROR(VLOOKUP(H$4,'Delayed discharges'!$BW$5:$CE$17,9,FALSE),"")</f>
        <v>1538.7142857142858</v>
      </c>
      <c r="I359" s="157">
        <f>IFERROR(VLOOKUP(I$4,'Delayed discharges'!$BW$5:$CE$17,9,FALSE),"")</f>
        <v>1889.5714285714287</v>
      </c>
      <c r="J359" s="157">
        <f>IFERROR(VLOOKUP(J$4,'Delayed discharges'!$BW$5:$CE$17,9,FALSE),"")</f>
        <v>2166.1428571428573</v>
      </c>
      <c r="K359" s="157">
        <f>IFERROR(VLOOKUP(K$4,'Delayed discharges'!$BW$5:$CE$17,9,FALSE),"")</f>
        <v>2278</v>
      </c>
      <c r="L359" s="157">
        <f>IFERROR(VLOOKUP(L$4,'Delayed discharges'!$BW$5:$CE$17,9,FALSE),"")</f>
        <v>2187.8571428571427</v>
      </c>
      <c r="M359" s="157">
        <f>IFERROR(VLOOKUP(M$4,'Delayed discharges'!$BW$5:$CE$17,9,FALSE),"")</f>
        <v>2268.5714285714284</v>
      </c>
      <c r="N359" s="157">
        <f>IFERROR(VLOOKUP(N$4,'Delayed discharges'!$BW$5:$CE$17,9,FALSE),"")</f>
        <v>2178.8571428571427</v>
      </c>
      <c r="O359" s="157">
        <f>IFERROR(VLOOKUP(O$4,'Delayed discharges'!$BW$5:$CE$17,9,FALSE),"")</f>
        <v>2049.8571428571427</v>
      </c>
      <c r="P359" s="157">
        <f>IFERROR(VLOOKUP(P$4,'Delayed discharges'!$BW$5:$CE$17,9,FALSE),"")</f>
        <v>2019.1428571428571</v>
      </c>
      <c r="Z359" s="197"/>
      <c r="AA359" s="197"/>
      <c r="AB359" s="197"/>
      <c r="AC359" s="197"/>
    </row>
    <row r="360" spans="2:29" x14ac:dyDescent="0.35">
      <c r="B360" s="168"/>
    </row>
  </sheetData>
  <sheetProtection algorithmName="SHA-512" hashValue="G369SlnoBRf1+cLy9XgXCeiBqUC239Blv/Kes7HNGZv1VP0VoHgWdAtGgTQE2byWRIzPhQg9zmN8EG1NyoJFKA==" saltValue="DXsKjd68ZpFzw7TzQ7ZXCg==" spinCount="100000" sheet="1" objects="1" scenarios="1" selectLockedCells="1" selectUnlockedCells="1"/>
  <mergeCells count="75">
    <mergeCell ref="Z68:AC78"/>
    <mergeCell ref="B259:B280"/>
    <mergeCell ref="Z259:AC264"/>
    <mergeCell ref="Z265:AC268"/>
    <mergeCell ref="B171:B193"/>
    <mergeCell ref="B195:B217"/>
    <mergeCell ref="B115:B145"/>
    <mergeCell ref="B63:B78"/>
    <mergeCell ref="G129:J129"/>
    <mergeCell ref="K129:M129"/>
    <mergeCell ref="B80:B113"/>
    <mergeCell ref="Z151:AC167"/>
    <mergeCell ref="N129:P129"/>
    <mergeCell ref="N145:P145"/>
    <mergeCell ref="D129:F129"/>
    <mergeCell ref="B21:B61"/>
    <mergeCell ref="D47:F47"/>
    <mergeCell ref="G47:J47"/>
    <mergeCell ref="K47:M47"/>
    <mergeCell ref="B147:B169"/>
    <mergeCell ref="G145:J145"/>
    <mergeCell ref="K145:M145"/>
    <mergeCell ref="D33:F33"/>
    <mergeCell ref="G33:J33"/>
    <mergeCell ref="K33:M33"/>
    <mergeCell ref="K61:M61"/>
    <mergeCell ref="D61:F61"/>
    <mergeCell ref="G61:J61"/>
    <mergeCell ref="Z4:AC4"/>
    <mergeCell ref="K17:M17"/>
    <mergeCell ref="K19:M19"/>
    <mergeCell ref="S4:X4"/>
    <mergeCell ref="N17:P17"/>
    <mergeCell ref="N19:P19"/>
    <mergeCell ref="B6:B19"/>
    <mergeCell ref="D17:F17"/>
    <mergeCell ref="D19:F19"/>
    <mergeCell ref="G17:J17"/>
    <mergeCell ref="G19:J19"/>
    <mergeCell ref="Z53:AC61"/>
    <mergeCell ref="Z49:AC52"/>
    <mergeCell ref="Z22:AC25"/>
    <mergeCell ref="N33:P33"/>
    <mergeCell ref="N47:P47"/>
    <mergeCell ref="N61:P61"/>
    <mergeCell ref="C2:AC2"/>
    <mergeCell ref="B219:B255"/>
    <mergeCell ref="Z6:AC9"/>
    <mergeCell ref="Z10:AC19"/>
    <mergeCell ref="Z63:AC66"/>
    <mergeCell ref="Z80:AC84"/>
    <mergeCell ref="Z85:AC100"/>
    <mergeCell ref="Z115:AC118"/>
    <mergeCell ref="Z120:AC145"/>
    <mergeCell ref="Z147:AC150"/>
    <mergeCell ref="Z171:AC174"/>
    <mergeCell ref="Z175:AC191"/>
    <mergeCell ref="Z195:AC198"/>
    <mergeCell ref="Z199:AC215"/>
    <mergeCell ref="Z219:AC224"/>
    <mergeCell ref="D145:F145"/>
    <mergeCell ref="Z308:AC311"/>
    <mergeCell ref="Z312:AC315"/>
    <mergeCell ref="B307:B325"/>
    <mergeCell ref="Z227:AC255"/>
    <mergeCell ref="B283:B304"/>
    <mergeCell ref="Z283:AC292"/>
    <mergeCell ref="Z293:AC296"/>
    <mergeCell ref="B327:B360"/>
    <mergeCell ref="Z352:AC355"/>
    <mergeCell ref="Z356:AC359"/>
    <mergeCell ref="Z341:AC344"/>
    <mergeCell ref="Z345:AC348"/>
    <mergeCell ref="Z334:AC339"/>
    <mergeCell ref="Z329:AC33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Y143"/>
  <sheetViews>
    <sheetView topLeftCell="AU7" zoomScale="55" zoomScaleNormal="55" workbookViewId="0">
      <selection activeCell="BT137" sqref="BT137"/>
    </sheetView>
  </sheetViews>
  <sheetFormatPr defaultRowHeight="14.5" x14ac:dyDescent="0.35"/>
  <cols>
    <col min="1" max="1" width="11.26953125" customWidth="1"/>
    <col min="2" max="2" width="25.1796875" bestFit="1" customWidth="1"/>
    <col min="3" max="3" width="22.6328125" bestFit="1" customWidth="1"/>
    <col min="4" max="4" width="10.36328125" bestFit="1" customWidth="1"/>
    <col min="5" max="5" width="12.54296875" bestFit="1" customWidth="1"/>
    <col min="6" max="6" width="31.36328125" bestFit="1" customWidth="1"/>
    <col min="7" max="7" width="15" bestFit="1" customWidth="1"/>
    <col min="8" max="8" width="14.26953125" bestFit="1" customWidth="1"/>
    <col min="9" max="9" width="15" bestFit="1" customWidth="1"/>
    <col min="10" max="10" width="15.54296875" bestFit="1" customWidth="1"/>
    <col min="11" max="22" width="11.26953125" customWidth="1"/>
    <col min="24" max="24" width="19.1796875" bestFit="1" customWidth="1"/>
    <col min="25" max="25" width="25.1796875" bestFit="1" customWidth="1"/>
    <col min="26" max="26" width="14.7265625" bestFit="1" customWidth="1"/>
    <col min="27" max="27" width="16.453125" bestFit="1" customWidth="1"/>
    <col min="28" max="28" width="25.1796875" bestFit="1" customWidth="1"/>
    <col min="29" max="29" width="14.7265625" bestFit="1" customWidth="1"/>
    <col min="30" max="30" width="16.453125" bestFit="1" customWidth="1"/>
    <col min="31" max="31" width="25.1796875" bestFit="1" customWidth="1"/>
    <col min="32" max="32" width="14.7265625" bestFit="1" customWidth="1"/>
    <col min="33" max="33" width="16.453125" bestFit="1" customWidth="1"/>
    <col min="34" max="34" width="31.36328125" bestFit="1" customWidth="1"/>
    <col min="35" max="35" width="14.7265625" bestFit="1" customWidth="1"/>
    <col min="36" max="36" width="16.453125" bestFit="1" customWidth="1"/>
    <col min="37" max="37" width="25.1796875" bestFit="1" customWidth="1"/>
    <col min="38" max="38" width="14.7265625" bestFit="1" customWidth="1"/>
    <col min="39" max="39" width="16.453125" bestFit="1" customWidth="1"/>
    <col min="40" max="40" width="25.1796875" bestFit="1" customWidth="1"/>
    <col min="41" max="41" width="14.7265625" bestFit="1" customWidth="1"/>
    <col min="42" max="42" width="16.453125" bestFit="1" customWidth="1"/>
    <col min="43" max="43" width="25.1796875" bestFit="1" customWidth="1"/>
    <col min="44" max="44" width="14.7265625" bestFit="1" customWidth="1"/>
    <col min="45" max="45" width="16.453125" bestFit="1" customWidth="1"/>
    <col min="46" max="46" width="32.1796875" bestFit="1" customWidth="1"/>
    <col min="47" max="47" width="21.6328125" bestFit="1" customWidth="1"/>
    <col min="48" max="48" width="23.7265625" bestFit="1" customWidth="1"/>
    <col min="49" max="49" width="17.26953125" customWidth="1"/>
    <col min="63" max="63" width="82.6328125" bestFit="1" customWidth="1"/>
    <col min="64" max="64" width="22.6328125" bestFit="1" customWidth="1"/>
    <col min="65" max="67" width="10.36328125" bestFit="1" customWidth="1"/>
    <col min="68" max="68" width="10.08984375" bestFit="1" customWidth="1"/>
    <col min="69" max="69" width="10.36328125" bestFit="1" customWidth="1"/>
    <col min="70" max="70" width="10.08984375" bestFit="1" customWidth="1"/>
    <col min="71" max="72" width="10.36328125" bestFit="1" customWidth="1"/>
    <col min="73" max="73" width="11.26953125" bestFit="1" customWidth="1"/>
    <col min="74" max="74" width="10.7265625" bestFit="1" customWidth="1"/>
    <col min="75" max="76" width="11.26953125" bestFit="1" customWidth="1"/>
  </cols>
  <sheetData>
    <row r="1" spans="1:76" s="17" customFormat="1" x14ac:dyDescent="0.35">
      <c r="A1" s="37"/>
      <c r="B1" s="43" t="s">
        <v>278</v>
      </c>
      <c r="C1" s="50"/>
      <c r="D1" s="50"/>
      <c r="E1" s="50"/>
      <c r="F1" s="50"/>
      <c r="G1" s="50"/>
      <c r="H1" s="50"/>
      <c r="I1" s="114"/>
      <c r="J1" s="114"/>
      <c r="K1" s="114"/>
      <c r="L1" s="54"/>
      <c r="M1" s="54"/>
      <c r="N1" s="54"/>
      <c r="O1" s="54"/>
      <c r="P1" s="54"/>
      <c r="Q1" s="54"/>
      <c r="R1" s="54"/>
      <c r="S1" s="54"/>
      <c r="T1" s="54"/>
      <c r="U1" s="37"/>
      <c r="V1" s="37"/>
      <c r="W1" s="47"/>
      <c r="X1" s="43" t="s">
        <v>279</v>
      </c>
      <c r="Y1" s="50"/>
      <c r="Z1" s="50"/>
      <c r="AA1" s="50"/>
      <c r="AB1" s="50"/>
      <c r="AC1" s="50"/>
      <c r="AD1" s="50"/>
      <c r="AE1" s="50"/>
      <c r="AF1" s="50"/>
      <c r="AG1" s="50"/>
      <c r="AH1" s="50"/>
      <c r="AI1" s="50"/>
      <c r="AJ1" s="50"/>
      <c r="AK1" s="50"/>
      <c r="AL1" s="50"/>
      <c r="AM1" s="50"/>
      <c r="AN1" s="50"/>
      <c r="AO1" s="50"/>
      <c r="AP1" s="50"/>
      <c r="AQ1" s="114"/>
      <c r="AR1" s="114"/>
      <c r="AS1" s="114"/>
      <c r="AT1" s="114"/>
      <c r="AU1" s="114"/>
      <c r="AV1" s="114"/>
      <c r="AW1" s="114"/>
      <c r="AX1" s="50"/>
      <c r="AY1" s="50"/>
      <c r="AZ1" s="50"/>
      <c r="BA1" s="50"/>
      <c r="BB1" s="50"/>
      <c r="BC1" s="50"/>
      <c r="BD1" s="50"/>
      <c r="BE1" s="50"/>
      <c r="BF1" s="50"/>
      <c r="BG1" s="114"/>
      <c r="BH1" s="114"/>
    </row>
    <row r="3" spans="1:76" x14ac:dyDescent="0.35">
      <c r="B3" s="18" t="s">
        <v>39</v>
      </c>
      <c r="C3" t="s" vm="1">
        <v>334</v>
      </c>
      <c r="N3" t="s">
        <v>40</v>
      </c>
      <c r="O3" t="s">
        <v>1</v>
      </c>
      <c r="P3" t="s">
        <v>220</v>
      </c>
      <c r="Q3" t="s">
        <v>249</v>
      </c>
      <c r="R3" t="s">
        <v>217</v>
      </c>
      <c r="S3" t="s">
        <v>218</v>
      </c>
      <c r="T3" t="s">
        <v>252</v>
      </c>
      <c r="U3" t="s">
        <v>251</v>
      </c>
      <c r="X3" s="18" t="s">
        <v>39</v>
      </c>
      <c r="Y3" t="s" vm="1">
        <v>334</v>
      </c>
      <c r="BK3" s="18" t="s">
        <v>39</v>
      </c>
      <c r="BL3" t="s" vm="1">
        <v>334</v>
      </c>
    </row>
    <row r="4" spans="1:76" x14ac:dyDescent="0.35">
      <c r="M4" s="21" t="s">
        <v>42</v>
      </c>
      <c r="N4" s="25">
        <f>(VLOOKUP($M4,$B$7:$J$1048576,9, FALSE))</f>
        <v>83893</v>
      </c>
      <c r="O4" s="25">
        <f>(VLOOKUP($M4,$B$7:$J$1048576,3, FALSE))</f>
        <v>12825</v>
      </c>
      <c r="P4" s="25">
        <f>(VLOOKUP($M4,$B$7:$J$1048576,4, FALSE))</f>
        <v>16976</v>
      </c>
      <c r="Q4" s="25">
        <f>(VLOOKUP($M4,$B$7:$J$1048576,5, FALSE))</f>
        <v>13770</v>
      </c>
      <c r="R4" s="25">
        <f>(VLOOKUP($M4,$B$7:$J$1048576,7, FALSE))</f>
        <v>13367</v>
      </c>
      <c r="S4" s="25">
        <f>(VLOOKUP($M4,$B$7:$J$1048576,8, FALSE))</f>
        <v>7433</v>
      </c>
      <c r="T4" s="25">
        <f>(VLOOKUP($M4,$B$7:$J$1048576,2, FALSE))</f>
        <v>8716</v>
      </c>
      <c r="U4" s="25">
        <f>(VLOOKUP($M4,$B$7:$J$1048576,6, FALSE))</f>
        <v>10806</v>
      </c>
      <c r="W4" s="28"/>
      <c r="AN4" s="28"/>
      <c r="AO4" s="28"/>
      <c r="AP4" s="28"/>
      <c r="AQ4" s="28"/>
      <c r="AR4" s="28"/>
      <c r="AS4" s="28"/>
      <c r="AT4" s="28"/>
      <c r="AU4" s="28"/>
      <c r="AV4" s="28"/>
      <c r="AW4" s="28"/>
      <c r="AX4" s="28"/>
      <c r="AY4" s="28"/>
      <c r="AZ4" s="28"/>
      <c r="BA4" s="28"/>
      <c r="BB4" s="28"/>
      <c r="BC4" s="28"/>
      <c r="BD4" s="28"/>
      <c r="BE4" s="28"/>
      <c r="BF4" s="28"/>
      <c r="BG4" s="28"/>
      <c r="BH4" s="28"/>
    </row>
    <row r="5" spans="1:76" x14ac:dyDescent="0.35">
      <c r="B5" s="18" t="s">
        <v>169</v>
      </c>
      <c r="C5" s="18" t="s">
        <v>41</v>
      </c>
      <c r="M5" s="21" t="s">
        <v>43</v>
      </c>
      <c r="N5" s="25">
        <f t="shared" ref="N5:N15" si="0">(VLOOKUP($M5,$B$7:$J$1048576,9, FALSE))</f>
        <v>83950</v>
      </c>
      <c r="O5" s="25">
        <f t="shared" ref="O5:O15" si="1">(VLOOKUP($M5,$B$7:$J$1048576,3, FALSE))</f>
        <v>12913</v>
      </c>
      <c r="P5" s="25">
        <f t="shared" ref="P5:P16" si="2">(VLOOKUP($M5,$B$7:$J$1048576,4, FALSE))</f>
        <v>16513</v>
      </c>
      <c r="Q5" s="25">
        <f t="shared" ref="Q5:Q16" si="3">(VLOOKUP($M5,$B$7:$J$1048576,5, FALSE))</f>
        <v>14147</v>
      </c>
      <c r="R5" s="25">
        <f t="shared" ref="R5:R16" si="4">(VLOOKUP($M5,$B$7:$J$1048576,7, FALSE))</f>
        <v>13274</v>
      </c>
      <c r="S5" s="25">
        <f t="shared" ref="S5:S16" si="5">(VLOOKUP($M5,$B$7:$J$1048576,8, FALSE))</f>
        <v>7795</v>
      </c>
      <c r="T5" s="25">
        <f t="shared" ref="T5:T16" si="6">(VLOOKUP($M5,$B$7:$J$1048576,2, FALSE))</f>
        <v>9068</v>
      </c>
      <c r="U5" s="25">
        <f t="shared" ref="U5:U16" si="7">(VLOOKUP($M5,$B$7:$J$1048576,6, FALSE))</f>
        <v>10240</v>
      </c>
      <c r="W5" s="28"/>
      <c r="Y5" s="18" t="s">
        <v>41</v>
      </c>
      <c r="AX5" s="28"/>
      <c r="AZ5" t="s">
        <v>40</v>
      </c>
      <c r="BA5" t="s">
        <v>1</v>
      </c>
      <c r="BB5" t="s">
        <v>220</v>
      </c>
      <c r="BC5" t="s">
        <v>249</v>
      </c>
      <c r="BD5" t="s">
        <v>217</v>
      </c>
      <c r="BE5" t="s">
        <v>218</v>
      </c>
      <c r="BF5" t="s">
        <v>252</v>
      </c>
      <c r="BG5" t="s">
        <v>251</v>
      </c>
      <c r="BK5" s="18" t="s">
        <v>183</v>
      </c>
      <c r="BL5" s="18" t="s">
        <v>41</v>
      </c>
    </row>
    <row r="6" spans="1:76" x14ac:dyDescent="0.35">
      <c r="B6" s="18" t="s">
        <v>37</v>
      </c>
      <c r="C6" t="s">
        <v>282</v>
      </c>
      <c r="D6" t="s">
        <v>1</v>
      </c>
      <c r="E6" t="s">
        <v>220</v>
      </c>
      <c r="F6" t="s">
        <v>253</v>
      </c>
      <c r="G6" t="s">
        <v>250</v>
      </c>
      <c r="H6" t="s">
        <v>217</v>
      </c>
      <c r="I6" t="s">
        <v>218</v>
      </c>
      <c r="J6" t="s">
        <v>38</v>
      </c>
      <c r="M6" s="21" t="s">
        <v>44</v>
      </c>
      <c r="N6" s="25">
        <f t="shared" si="0"/>
        <v>83545</v>
      </c>
      <c r="O6" s="25">
        <f t="shared" si="1"/>
        <v>12787</v>
      </c>
      <c r="P6" s="25">
        <f t="shared" si="2"/>
        <v>16726</v>
      </c>
      <c r="Q6" s="25">
        <f t="shared" si="3"/>
        <v>13849</v>
      </c>
      <c r="R6" s="25">
        <f t="shared" si="4"/>
        <v>12865</v>
      </c>
      <c r="S6" s="25">
        <f t="shared" si="5"/>
        <v>7787</v>
      </c>
      <c r="T6" s="25">
        <f t="shared" si="6"/>
        <v>9085</v>
      </c>
      <c r="U6" s="25">
        <f t="shared" si="7"/>
        <v>10446</v>
      </c>
      <c r="W6" s="28"/>
      <c r="Y6" t="s">
        <v>282</v>
      </c>
      <c r="AB6" t="s">
        <v>1</v>
      </c>
      <c r="AE6" t="s">
        <v>220</v>
      </c>
      <c r="AH6" t="s">
        <v>253</v>
      </c>
      <c r="AK6" t="s">
        <v>250</v>
      </c>
      <c r="AN6" t="s">
        <v>217</v>
      </c>
      <c r="AQ6" t="s">
        <v>218</v>
      </c>
      <c r="AT6" t="s">
        <v>174</v>
      </c>
      <c r="AU6" t="s">
        <v>170</v>
      </c>
      <c r="AV6" t="s">
        <v>172</v>
      </c>
      <c r="AX6" s="28"/>
      <c r="AY6" s="21" t="s">
        <v>42</v>
      </c>
      <c r="AZ6" s="28">
        <f>(VLOOKUP($AY6,$X$8:$AV$1048576,24,FALSE)+VLOOKUP($AY6,$X$8:$AV$1048576,25,FALSE))/VLOOKUP($AY6,$X$8:$AV$1048576,23,FALSE)</f>
        <v>0.23084166736199682</v>
      </c>
      <c r="BA6" s="28">
        <f>(VLOOKUP($AY6,$X$8:$AV$1048576,6,FALSE)+VLOOKUP($AY6,$X$8:$AV$1048576,7,FALSE))/VLOOKUP($AY6,$X$8:$AV$1048576,5,FALSE)</f>
        <v>0.19539961013645224</v>
      </c>
      <c r="BB6" s="28">
        <f>(VLOOKUP($AY6,$X$8:$AV$1048576,9,FALSE)+VLOOKUP($AY6,$X$8:$AV$1048576,10,FALSE))/VLOOKUP($AY6,$X$8:$AV$1048576,8,FALSE)</f>
        <v>0.29441564561734213</v>
      </c>
      <c r="BC6" s="28">
        <f>(VLOOKUP($AY6,$X$8:$AV$1048576,12,FALSE)+VLOOKUP($AY6,$X$8:$AV$1048576,13,FALSE))/VLOOKUP($AY6,$X$8:$AV$1048576,11,FALSE)</f>
        <v>0.20370370370370369</v>
      </c>
      <c r="BD6" s="28">
        <f>(VLOOKUP($AY6,$X$8:$AV$1048576,18,FALSE)+VLOOKUP($AY6,$X$8:$AV$1048576,19,FALSE))/VLOOKUP($AY6,$X$8:$AV$1048576,17, FALSE)</f>
        <v>0.16578140196005087</v>
      </c>
      <c r="BE6" s="28">
        <f>(VLOOKUP($AY6,$X$8:$AV$1048576,21,FALSE)+VLOOKUP($AY6,$X$8:$AV$1048576,22, FALSE))/VLOOKUP($AY6,$X$8:$AV$1048576,20,FALSE)</f>
        <v>0.31185254944167901</v>
      </c>
      <c r="BF6" s="28">
        <f>(VLOOKUP($AY6,$X$8:$AV$1048576,3,FALSE)+VLOOKUP($AY6,$X$8:$AV$1048576,4,FALSE))/VLOOKUP($AY6,$X$8:$AV$1048576,2,FALSE)</f>
        <v>0.27076640660853601</v>
      </c>
      <c r="BG6" s="28">
        <f>(VLOOKUP($AY6,$X$8:$AV$1048576,15,FALSE)+VLOOKUP($AY6,$X$8:$AV$1048576,16,FALSE))/VLOOKUP($AY6,$X$8:$AV$1048576,14,FALSE)</f>
        <v>0.20016657412548583</v>
      </c>
      <c r="BH6" s="28"/>
      <c r="BK6" s="18" t="s">
        <v>37</v>
      </c>
      <c r="BL6" t="s">
        <v>42</v>
      </c>
      <c r="BM6" t="s">
        <v>43</v>
      </c>
      <c r="BN6" t="s">
        <v>44</v>
      </c>
      <c r="BO6" t="s">
        <v>45</v>
      </c>
      <c r="BP6" t="s">
        <v>46</v>
      </c>
      <c r="BQ6" t="s">
        <v>47</v>
      </c>
      <c r="BR6" t="s">
        <v>48</v>
      </c>
      <c r="BS6" t="s">
        <v>49</v>
      </c>
      <c r="BT6" t="s">
        <v>50</v>
      </c>
      <c r="BU6" t="s">
        <v>51</v>
      </c>
      <c r="BV6" t="s">
        <v>52</v>
      </c>
      <c r="BW6" t="s">
        <v>53</v>
      </c>
      <c r="BX6" t="s">
        <v>54</v>
      </c>
    </row>
    <row r="7" spans="1:76" x14ac:dyDescent="0.35">
      <c r="A7" s="2"/>
      <c r="B7" s="19" t="s">
        <v>42</v>
      </c>
      <c r="C7" s="2">
        <v>8716</v>
      </c>
      <c r="D7" s="2">
        <v>12825</v>
      </c>
      <c r="E7" s="2">
        <v>16976</v>
      </c>
      <c r="F7" s="2">
        <v>13770</v>
      </c>
      <c r="G7" s="2">
        <v>10806</v>
      </c>
      <c r="H7" s="2">
        <v>13367</v>
      </c>
      <c r="I7" s="2">
        <v>7433</v>
      </c>
      <c r="J7" s="2">
        <v>83893</v>
      </c>
      <c r="K7" s="2"/>
      <c r="L7" s="2"/>
      <c r="M7" s="21" t="s">
        <v>45</v>
      </c>
      <c r="N7" s="25">
        <f t="shared" si="0"/>
        <v>83001</v>
      </c>
      <c r="O7" s="25">
        <f t="shared" si="1"/>
        <v>12416</v>
      </c>
      <c r="P7" s="25">
        <f t="shared" si="2"/>
        <v>16543</v>
      </c>
      <c r="Q7" s="25">
        <f t="shared" si="3"/>
        <v>13533</v>
      </c>
      <c r="R7" s="25">
        <f t="shared" si="4"/>
        <v>12927</v>
      </c>
      <c r="S7" s="25">
        <f t="shared" si="5"/>
        <v>8142</v>
      </c>
      <c r="T7" s="25">
        <f t="shared" si="6"/>
        <v>9208</v>
      </c>
      <c r="U7" s="25">
        <f t="shared" si="7"/>
        <v>10232</v>
      </c>
      <c r="V7" s="2"/>
      <c r="W7" s="28"/>
      <c r="X7" s="18" t="s">
        <v>37</v>
      </c>
      <c r="Y7" t="s">
        <v>169</v>
      </c>
      <c r="Z7" t="s">
        <v>171</v>
      </c>
      <c r="AA7" t="s">
        <v>173</v>
      </c>
      <c r="AB7" t="s">
        <v>169</v>
      </c>
      <c r="AC7" t="s">
        <v>171</v>
      </c>
      <c r="AD7" t="s">
        <v>173</v>
      </c>
      <c r="AE7" t="s">
        <v>169</v>
      </c>
      <c r="AF7" t="s">
        <v>171</v>
      </c>
      <c r="AG7" t="s">
        <v>173</v>
      </c>
      <c r="AH7" t="s">
        <v>169</v>
      </c>
      <c r="AI7" t="s">
        <v>171</v>
      </c>
      <c r="AJ7" t="s">
        <v>173</v>
      </c>
      <c r="AK7" t="s">
        <v>169</v>
      </c>
      <c r="AL7" t="s">
        <v>171</v>
      </c>
      <c r="AM7" t="s">
        <v>173</v>
      </c>
      <c r="AN7" t="s">
        <v>169</v>
      </c>
      <c r="AO7" t="s">
        <v>171</v>
      </c>
      <c r="AP7" t="s">
        <v>173</v>
      </c>
      <c r="AQ7" t="s">
        <v>169</v>
      </c>
      <c r="AR7" t="s">
        <v>171</v>
      </c>
      <c r="AS7" t="s">
        <v>173</v>
      </c>
      <c r="AX7" s="28"/>
      <c r="AY7" s="21" t="s">
        <v>43</v>
      </c>
      <c r="AZ7" s="28">
        <f t="shared" ref="AZ7:AZ18" si="8">(VLOOKUP($AY7,$X$8:$AV$1048576,24,FALSE)+VLOOKUP($AY7,$X$8:$AV$1048576,25,FALSE))/VLOOKUP($AY7,$X$8:$AV$1048576,23,FALSE)</f>
        <v>0.23231685527099463</v>
      </c>
      <c r="BA7" s="28">
        <f t="shared" ref="BA7:BA18" si="9">(VLOOKUP($AY7,$X$8:$AV$1048576,6,FALSE)+VLOOKUP($AY7,$X$8:$AV$1048576,7,FALSE))/VLOOKUP($AY7,$X$8:$AV$1048576,5,FALSE)</f>
        <v>0.19182219468752421</v>
      </c>
      <c r="BB7" s="28">
        <f t="shared" ref="BB7:BB18" si="10">(VLOOKUP($AY7,$X$8:$AV$1048576,9,FALSE)+VLOOKUP($AY7,$X$8:$AV$1048576,10,FALSE))/VLOOKUP($AY7,$X$8:$AV$1048576,8,FALSE)</f>
        <v>0.32192817779930966</v>
      </c>
      <c r="BC7" s="28">
        <f t="shared" ref="BC7:BC18" si="11">(VLOOKUP($AY7,$X$8:$AV$1048576,12,FALSE)+VLOOKUP($AY7,$X$8:$AV$1048576,13,FALSE))/VLOOKUP($AY7,$X$8:$AV$1048576,11,FALSE)</f>
        <v>0.17883650243867957</v>
      </c>
      <c r="BD7" s="28">
        <f t="shared" ref="BD7:BD18" si="12">(VLOOKUP($AY7,$X$8:$AV$1048576,18,FALSE)+VLOOKUP($AY7,$X$8:$AV$1048576,19,FALSE))/VLOOKUP($AY7,$X$8:$AV$1048576,17, FALSE)</f>
        <v>0.16151875847521471</v>
      </c>
      <c r="BE7" s="28">
        <f t="shared" ref="BE7:BE18" si="13">(VLOOKUP($AY7,$X$8:$AV$1048576,21,FALSE)+VLOOKUP($AY7,$X$8:$AV$1048576,22, FALSE))/VLOOKUP($AY7,$X$8:$AV$1048576,20,FALSE)</f>
        <v>0.28877485567671585</v>
      </c>
      <c r="BF7" s="28">
        <f t="shared" ref="BF7:BF18" si="14">(VLOOKUP($AY7,$X$8:$AV$1048576,3,FALSE)+VLOOKUP($AY7,$X$8:$AV$1048576,4,FALSE))/VLOOKUP($AY7,$X$8:$AV$1048576,2,FALSE)</f>
        <v>0.27415086016762241</v>
      </c>
      <c r="BG7" s="28">
        <f t="shared" ref="BG7:BG18" si="15">(VLOOKUP($AY7,$X$8:$AV$1048576,15,FALSE)+VLOOKUP($AY7,$X$8:$AV$1048576,16,FALSE))/VLOOKUP($AY7,$X$8:$AV$1048576,14,FALSE)</f>
        <v>0.22451171875000001</v>
      </c>
      <c r="BH7" s="28"/>
      <c r="BK7" s="19" t="s">
        <v>63</v>
      </c>
      <c r="BL7" s="2">
        <v>1</v>
      </c>
      <c r="BM7" s="2">
        <v>4</v>
      </c>
      <c r="BN7" s="2">
        <v>5</v>
      </c>
      <c r="BO7" s="2">
        <v>0</v>
      </c>
      <c r="BP7" s="2">
        <v>3</v>
      </c>
      <c r="BQ7" s="2">
        <v>0</v>
      </c>
      <c r="BR7" s="2">
        <v>4</v>
      </c>
      <c r="BS7" s="2">
        <v>0</v>
      </c>
      <c r="BT7" s="2">
        <v>1</v>
      </c>
      <c r="BU7" s="2">
        <v>7</v>
      </c>
      <c r="BV7" s="2">
        <v>0</v>
      </c>
      <c r="BW7" s="2">
        <v>2</v>
      </c>
      <c r="BX7" s="2">
        <v>2</v>
      </c>
    </row>
    <row r="8" spans="1:76" x14ac:dyDescent="0.35">
      <c r="A8" s="2"/>
      <c r="B8" s="19" t="s">
        <v>51</v>
      </c>
      <c r="C8" s="2">
        <v>8890</v>
      </c>
      <c r="D8" s="2">
        <v>13516</v>
      </c>
      <c r="E8" s="2">
        <v>16828</v>
      </c>
      <c r="F8" s="2">
        <v>14185</v>
      </c>
      <c r="G8" s="2">
        <v>11215</v>
      </c>
      <c r="H8" s="2">
        <v>13143</v>
      </c>
      <c r="I8" s="2">
        <v>7257</v>
      </c>
      <c r="J8" s="2">
        <v>85034</v>
      </c>
      <c r="K8" s="2"/>
      <c r="L8" s="2"/>
      <c r="M8" s="21" t="s">
        <v>46</v>
      </c>
      <c r="N8" s="25">
        <f t="shared" si="0"/>
        <v>83640</v>
      </c>
      <c r="O8" s="25">
        <f t="shared" si="1"/>
        <v>13272</v>
      </c>
      <c r="P8" s="25">
        <f t="shared" si="2"/>
        <v>16594</v>
      </c>
      <c r="Q8" s="25">
        <f t="shared" si="3"/>
        <v>13551</v>
      </c>
      <c r="R8" s="25">
        <f t="shared" si="4"/>
        <v>14033</v>
      </c>
      <c r="S8" s="25">
        <f t="shared" si="5"/>
        <v>7881</v>
      </c>
      <c r="T8" s="25">
        <f t="shared" si="6"/>
        <v>8888</v>
      </c>
      <c r="U8" s="25">
        <f t="shared" si="7"/>
        <v>9421</v>
      </c>
      <c r="V8" s="2"/>
      <c r="W8" s="28"/>
      <c r="X8" s="19" t="s">
        <v>42</v>
      </c>
      <c r="Y8" s="2">
        <v>8716</v>
      </c>
      <c r="Z8" s="2">
        <v>1237</v>
      </c>
      <c r="AA8" s="2">
        <v>1123</v>
      </c>
      <c r="AB8" s="2">
        <v>12825</v>
      </c>
      <c r="AC8" s="2">
        <v>1765</v>
      </c>
      <c r="AD8" s="2">
        <v>741</v>
      </c>
      <c r="AE8" s="2">
        <v>16976</v>
      </c>
      <c r="AF8" s="2">
        <v>2855</v>
      </c>
      <c r="AG8" s="2">
        <v>2143</v>
      </c>
      <c r="AH8" s="2">
        <v>13770</v>
      </c>
      <c r="AI8" s="2">
        <v>1554</v>
      </c>
      <c r="AJ8" s="2">
        <v>1251</v>
      </c>
      <c r="AK8" s="2">
        <v>10806</v>
      </c>
      <c r="AL8" s="2">
        <v>1463</v>
      </c>
      <c r="AM8" s="2">
        <v>700</v>
      </c>
      <c r="AN8" s="2">
        <v>13367</v>
      </c>
      <c r="AO8" s="2">
        <v>1419</v>
      </c>
      <c r="AP8" s="2">
        <v>797</v>
      </c>
      <c r="AQ8" s="2">
        <v>7433</v>
      </c>
      <c r="AR8" s="2">
        <v>862</v>
      </c>
      <c r="AS8" s="2">
        <v>1456</v>
      </c>
      <c r="AT8" s="2">
        <v>83893</v>
      </c>
      <c r="AU8" s="2">
        <v>11155</v>
      </c>
      <c r="AV8" s="2">
        <v>8211</v>
      </c>
      <c r="AW8" s="2"/>
      <c r="AX8" s="28"/>
      <c r="AY8" s="21" t="s">
        <v>44</v>
      </c>
      <c r="AZ8" s="28">
        <f t="shared" si="8"/>
        <v>0.19642109043030703</v>
      </c>
      <c r="BA8" s="28">
        <f t="shared" si="9"/>
        <v>0.17760225228747947</v>
      </c>
      <c r="BB8" s="28">
        <f t="shared" si="10"/>
        <v>0.2621068994380007</v>
      </c>
      <c r="BC8" s="28">
        <f t="shared" si="11"/>
        <v>0.14636435843743231</v>
      </c>
      <c r="BD8" s="28">
        <f t="shared" si="12"/>
        <v>0.11589584143023708</v>
      </c>
      <c r="BE8" s="28">
        <f t="shared" si="13"/>
        <v>0.26081931424168486</v>
      </c>
      <c r="BF8" s="28">
        <f t="shared" si="14"/>
        <v>0.25866813428728674</v>
      </c>
      <c r="BG8" s="28">
        <f t="shared" si="15"/>
        <v>0.17767566532644075</v>
      </c>
      <c r="BH8" s="28"/>
      <c r="BK8" s="19" t="s">
        <v>64</v>
      </c>
      <c r="BL8" s="2">
        <v>0</v>
      </c>
      <c r="BM8" s="2">
        <v>0</v>
      </c>
      <c r="BN8" s="2">
        <v>0</v>
      </c>
      <c r="BO8" s="2">
        <v>0</v>
      </c>
      <c r="BP8" s="2">
        <v>0</v>
      </c>
      <c r="BQ8" s="2">
        <v>0</v>
      </c>
      <c r="BR8" s="2">
        <v>0</v>
      </c>
      <c r="BS8" s="2">
        <v>0</v>
      </c>
      <c r="BT8" s="2">
        <v>0</v>
      </c>
      <c r="BU8" s="2">
        <v>0</v>
      </c>
      <c r="BV8" s="2">
        <v>0</v>
      </c>
      <c r="BW8" s="2">
        <v>0</v>
      </c>
      <c r="BX8" s="2">
        <v>0</v>
      </c>
    </row>
    <row r="9" spans="1:76" x14ac:dyDescent="0.35">
      <c r="A9" s="2"/>
      <c r="B9" s="19" t="s">
        <v>52</v>
      </c>
      <c r="C9" s="2">
        <v>8915</v>
      </c>
      <c r="D9" s="2">
        <v>13362</v>
      </c>
      <c r="E9" s="2">
        <v>17098</v>
      </c>
      <c r="F9" s="2">
        <v>14312</v>
      </c>
      <c r="G9" s="2">
        <v>11166</v>
      </c>
      <c r="H9" s="2">
        <v>13168</v>
      </c>
      <c r="I9" s="2">
        <v>7481</v>
      </c>
      <c r="J9" s="2">
        <v>85502</v>
      </c>
      <c r="K9" s="2"/>
      <c r="L9" s="2"/>
      <c r="M9" s="20" t="s">
        <v>47</v>
      </c>
      <c r="N9" s="25">
        <f t="shared" si="0"/>
        <v>81129</v>
      </c>
      <c r="O9" s="25">
        <f t="shared" si="1"/>
        <v>12553</v>
      </c>
      <c r="P9" s="25">
        <f t="shared" si="2"/>
        <v>15884</v>
      </c>
      <c r="Q9" s="25">
        <f t="shared" si="3"/>
        <v>12860</v>
      </c>
      <c r="R9" s="25">
        <f t="shared" si="4"/>
        <v>12980</v>
      </c>
      <c r="S9" s="25">
        <f t="shared" si="5"/>
        <v>7742</v>
      </c>
      <c r="T9" s="25">
        <f t="shared" si="6"/>
        <v>9201</v>
      </c>
      <c r="U9" s="25">
        <f t="shared" si="7"/>
        <v>9909</v>
      </c>
      <c r="V9" s="2"/>
      <c r="W9" s="28"/>
      <c r="X9" s="19" t="s">
        <v>51</v>
      </c>
      <c r="Y9" s="2">
        <v>8890</v>
      </c>
      <c r="Z9" s="2">
        <v>1309</v>
      </c>
      <c r="AA9" s="2">
        <v>1133</v>
      </c>
      <c r="AB9" s="2">
        <v>13516</v>
      </c>
      <c r="AC9" s="2">
        <v>1819</v>
      </c>
      <c r="AD9" s="2">
        <v>682</v>
      </c>
      <c r="AE9" s="2">
        <v>16828</v>
      </c>
      <c r="AF9" s="2">
        <v>2690</v>
      </c>
      <c r="AG9" s="2">
        <v>2235</v>
      </c>
      <c r="AH9" s="2">
        <v>14185</v>
      </c>
      <c r="AI9" s="2">
        <v>1447</v>
      </c>
      <c r="AJ9" s="2">
        <v>915</v>
      </c>
      <c r="AK9" s="2">
        <v>11215</v>
      </c>
      <c r="AL9" s="2">
        <v>1318</v>
      </c>
      <c r="AM9" s="2">
        <v>569</v>
      </c>
      <c r="AN9" s="2">
        <v>13143</v>
      </c>
      <c r="AO9" s="2">
        <v>1031</v>
      </c>
      <c r="AP9" s="2">
        <v>442</v>
      </c>
      <c r="AQ9" s="2">
        <v>7257</v>
      </c>
      <c r="AR9" s="2">
        <v>854</v>
      </c>
      <c r="AS9" s="2">
        <v>1749</v>
      </c>
      <c r="AT9" s="2">
        <v>85034</v>
      </c>
      <c r="AU9" s="2">
        <v>10468</v>
      </c>
      <c r="AV9" s="2">
        <v>7725</v>
      </c>
      <c r="AW9" s="2"/>
      <c r="AX9" s="28"/>
      <c r="AY9" s="21" t="s">
        <v>45</v>
      </c>
      <c r="AZ9" s="28">
        <f t="shared" si="8"/>
        <v>0.13358875194274769</v>
      </c>
      <c r="BA9" s="28">
        <f t="shared" si="9"/>
        <v>0.12822164948453607</v>
      </c>
      <c r="BB9" s="28">
        <f t="shared" si="10"/>
        <v>0.15897962884603761</v>
      </c>
      <c r="BC9" s="28">
        <f t="shared" si="11"/>
        <v>0.1001995123032587</v>
      </c>
      <c r="BD9" s="28">
        <f t="shared" si="12"/>
        <v>6.3587839405894644E-2</v>
      </c>
      <c r="BE9" s="28">
        <f t="shared" si="13"/>
        <v>0.19847703267010564</v>
      </c>
      <c r="BF9" s="28">
        <f t="shared" si="14"/>
        <v>0.18983492615117289</v>
      </c>
      <c r="BG9" s="28">
        <f t="shared" si="15"/>
        <v>0.12939796716184518</v>
      </c>
      <c r="BH9" s="28"/>
      <c r="BK9" s="19" t="s">
        <v>65</v>
      </c>
      <c r="BL9" s="2">
        <v>0</v>
      </c>
      <c r="BM9" s="2">
        <v>18</v>
      </c>
      <c r="BN9" s="2">
        <v>3</v>
      </c>
      <c r="BO9" s="2">
        <v>6</v>
      </c>
      <c r="BP9" s="2">
        <v>4</v>
      </c>
      <c r="BQ9" s="2">
        <v>14</v>
      </c>
      <c r="BR9" s="2">
        <v>4</v>
      </c>
      <c r="BS9" s="2">
        <v>15</v>
      </c>
      <c r="BT9" s="2">
        <v>14</v>
      </c>
      <c r="BU9" s="2">
        <v>2</v>
      </c>
      <c r="BV9" s="2">
        <v>35</v>
      </c>
      <c r="BW9" s="2">
        <v>11</v>
      </c>
      <c r="BX9" s="2">
        <v>1</v>
      </c>
    </row>
    <row r="10" spans="1:76" x14ac:dyDescent="0.35">
      <c r="A10" s="2"/>
      <c r="B10" s="19" t="s">
        <v>53</v>
      </c>
      <c r="C10" s="2">
        <v>8785</v>
      </c>
      <c r="D10" s="2">
        <v>12948</v>
      </c>
      <c r="E10" s="2">
        <v>16907</v>
      </c>
      <c r="F10" s="2">
        <v>14189</v>
      </c>
      <c r="G10" s="2">
        <v>11286</v>
      </c>
      <c r="H10" s="2">
        <v>13267</v>
      </c>
      <c r="I10" s="2">
        <v>7192</v>
      </c>
      <c r="J10" s="2">
        <v>84574</v>
      </c>
      <c r="K10" s="2"/>
      <c r="L10" s="2"/>
      <c r="M10" s="20" t="s">
        <v>48</v>
      </c>
      <c r="N10" s="25">
        <f>(VLOOKUP($M10,$B$7:$J$1048576,9, FALSE))</f>
        <v>83486</v>
      </c>
      <c r="O10" s="25">
        <f t="shared" si="1"/>
        <v>12945</v>
      </c>
      <c r="P10" s="25">
        <f t="shared" si="2"/>
        <v>16621</v>
      </c>
      <c r="Q10" s="25">
        <f t="shared" si="3"/>
        <v>13662</v>
      </c>
      <c r="R10" s="25">
        <f t="shared" si="4"/>
        <v>12816</v>
      </c>
      <c r="S10" s="25">
        <f t="shared" si="5"/>
        <v>7696</v>
      </c>
      <c r="T10" s="25">
        <f t="shared" si="6"/>
        <v>9078</v>
      </c>
      <c r="U10" s="25">
        <f t="shared" si="7"/>
        <v>10668</v>
      </c>
      <c r="V10" s="2"/>
      <c r="W10" s="28"/>
      <c r="X10" s="19" t="s">
        <v>52</v>
      </c>
      <c r="Y10" s="2">
        <v>8915</v>
      </c>
      <c r="Z10" s="2">
        <v>1210</v>
      </c>
      <c r="AA10" s="2">
        <v>1096</v>
      </c>
      <c r="AB10" s="2">
        <v>13362</v>
      </c>
      <c r="AC10" s="2">
        <v>1594</v>
      </c>
      <c r="AD10" s="2">
        <v>606</v>
      </c>
      <c r="AE10" s="2">
        <v>17098</v>
      </c>
      <c r="AF10" s="2">
        <v>2760</v>
      </c>
      <c r="AG10" s="2">
        <v>1801</v>
      </c>
      <c r="AH10" s="2">
        <v>14312</v>
      </c>
      <c r="AI10" s="2">
        <v>1320</v>
      </c>
      <c r="AJ10" s="2">
        <v>685</v>
      </c>
      <c r="AK10" s="2">
        <v>11166</v>
      </c>
      <c r="AL10" s="2">
        <v>1209</v>
      </c>
      <c r="AM10" s="2">
        <v>529</v>
      </c>
      <c r="AN10" s="2">
        <v>13168</v>
      </c>
      <c r="AO10" s="2">
        <v>1170</v>
      </c>
      <c r="AP10" s="2">
        <v>505</v>
      </c>
      <c r="AQ10" s="2">
        <v>7481</v>
      </c>
      <c r="AR10" s="2">
        <v>945</v>
      </c>
      <c r="AS10" s="2">
        <v>1633</v>
      </c>
      <c r="AT10" s="2">
        <v>85502</v>
      </c>
      <c r="AU10" s="2">
        <v>10208</v>
      </c>
      <c r="AV10" s="2">
        <v>6855</v>
      </c>
      <c r="AW10" s="2"/>
      <c r="AX10" s="28"/>
      <c r="AY10" s="21" t="s">
        <v>46</v>
      </c>
      <c r="AZ10" s="28">
        <f t="shared" si="8"/>
        <v>0.22834768053562887</v>
      </c>
      <c r="BA10" s="28">
        <f t="shared" si="9"/>
        <v>0.18301687763713081</v>
      </c>
      <c r="BB10" s="28">
        <f t="shared" si="10"/>
        <v>0.29962637097746175</v>
      </c>
      <c r="BC10" s="28">
        <f t="shared" si="11"/>
        <v>0.18707106486606154</v>
      </c>
      <c r="BD10" s="28">
        <f t="shared" si="12"/>
        <v>0.13853060642770612</v>
      </c>
      <c r="BE10" s="28">
        <f t="shared" si="13"/>
        <v>0.31594975256947089</v>
      </c>
      <c r="BF10" s="28">
        <f t="shared" si="14"/>
        <v>0.30164266426642666</v>
      </c>
      <c r="BG10" s="28">
        <f t="shared" si="15"/>
        <v>0.21738668931111346</v>
      </c>
      <c r="BH10" s="28"/>
      <c r="BK10" s="19" t="s">
        <v>66</v>
      </c>
      <c r="BL10" s="2">
        <v>107</v>
      </c>
      <c r="BM10" s="2">
        <v>155</v>
      </c>
      <c r="BN10" s="2">
        <v>153</v>
      </c>
      <c r="BO10" s="2">
        <v>125</v>
      </c>
      <c r="BP10" s="2">
        <v>180</v>
      </c>
      <c r="BQ10" s="2">
        <v>167</v>
      </c>
      <c r="BR10" s="2">
        <v>182</v>
      </c>
      <c r="BS10" s="2">
        <v>81</v>
      </c>
      <c r="BT10" s="2">
        <v>164</v>
      </c>
      <c r="BU10" s="2">
        <v>151</v>
      </c>
      <c r="BV10" s="2">
        <v>181</v>
      </c>
      <c r="BW10" s="2">
        <v>60</v>
      </c>
      <c r="BX10" s="2">
        <v>140</v>
      </c>
    </row>
    <row r="11" spans="1:76" x14ac:dyDescent="0.35">
      <c r="A11" s="2"/>
      <c r="B11" s="19" t="s">
        <v>54</v>
      </c>
      <c r="C11" s="2">
        <v>8973</v>
      </c>
      <c r="D11" s="2">
        <v>13523</v>
      </c>
      <c r="E11" s="2">
        <v>16814</v>
      </c>
      <c r="F11" s="2">
        <v>14078</v>
      </c>
      <c r="G11" s="2">
        <v>11284</v>
      </c>
      <c r="H11" s="2">
        <v>13044</v>
      </c>
      <c r="I11" s="2">
        <v>7248</v>
      </c>
      <c r="J11" s="2">
        <v>84964</v>
      </c>
      <c r="K11" s="2"/>
      <c r="L11" s="2"/>
      <c r="M11" s="20" t="s">
        <v>49</v>
      </c>
      <c r="N11" s="25">
        <f t="shared" si="0"/>
        <v>85455</v>
      </c>
      <c r="O11" s="25">
        <f t="shared" si="1"/>
        <v>13509</v>
      </c>
      <c r="P11" s="25">
        <f t="shared" si="2"/>
        <v>16769</v>
      </c>
      <c r="Q11" s="25">
        <f t="shared" si="3"/>
        <v>13845</v>
      </c>
      <c r="R11" s="25">
        <f t="shared" si="4"/>
        <v>13340</v>
      </c>
      <c r="S11" s="25">
        <f t="shared" si="5"/>
        <v>7982</v>
      </c>
      <c r="T11" s="25">
        <f t="shared" si="6"/>
        <v>9158</v>
      </c>
      <c r="U11" s="25">
        <f t="shared" si="7"/>
        <v>10852</v>
      </c>
      <c r="V11" s="2"/>
      <c r="W11" s="28"/>
      <c r="X11" s="19" t="s">
        <v>53</v>
      </c>
      <c r="Y11" s="2">
        <v>8785</v>
      </c>
      <c r="Z11" s="2">
        <v>1277</v>
      </c>
      <c r="AA11" s="2">
        <v>1155</v>
      </c>
      <c r="AB11" s="2">
        <v>12948</v>
      </c>
      <c r="AC11" s="2">
        <v>1437</v>
      </c>
      <c r="AD11" s="2">
        <v>383</v>
      </c>
      <c r="AE11" s="2">
        <v>16907</v>
      </c>
      <c r="AF11" s="2">
        <v>2956</v>
      </c>
      <c r="AG11" s="2">
        <v>1911</v>
      </c>
      <c r="AH11" s="2">
        <v>14189</v>
      </c>
      <c r="AI11" s="2">
        <v>1475</v>
      </c>
      <c r="AJ11" s="2">
        <v>1022</v>
      </c>
      <c r="AK11" s="2">
        <v>11286</v>
      </c>
      <c r="AL11" s="2">
        <v>1353</v>
      </c>
      <c r="AM11" s="2">
        <v>563</v>
      </c>
      <c r="AN11" s="2">
        <v>13267</v>
      </c>
      <c r="AO11" s="2">
        <v>1221</v>
      </c>
      <c r="AP11" s="2">
        <v>418</v>
      </c>
      <c r="AQ11" s="2">
        <v>7192</v>
      </c>
      <c r="AR11" s="2">
        <v>867</v>
      </c>
      <c r="AS11" s="2">
        <v>1740</v>
      </c>
      <c r="AT11" s="2">
        <v>84574</v>
      </c>
      <c r="AU11" s="2">
        <v>10586</v>
      </c>
      <c r="AV11" s="2">
        <v>7192</v>
      </c>
      <c r="AW11" s="2"/>
      <c r="AX11" s="28"/>
      <c r="AY11" s="20" t="s">
        <v>47</v>
      </c>
      <c r="AZ11" s="28">
        <f t="shared" si="8"/>
        <v>0.22565297242662918</v>
      </c>
      <c r="BA11" s="28">
        <f t="shared" si="9"/>
        <v>0.19851828248227515</v>
      </c>
      <c r="BB11" s="28">
        <f t="shared" si="10"/>
        <v>0.29060690002518258</v>
      </c>
      <c r="BC11" s="28">
        <f t="shared" si="11"/>
        <v>0.18506998444790046</v>
      </c>
      <c r="BD11" s="28">
        <f t="shared" si="12"/>
        <v>0.14591679506933744</v>
      </c>
      <c r="BE11" s="28">
        <f t="shared" si="13"/>
        <v>0.30857659519504005</v>
      </c>
      <c r="BF11" s="28">
        <f t="shared" si="14"/>
        <v>0.26899250081512877</v>
      </c>
      <c r="BG11" s="28">
        <f t="shared" si="15"/>
        <v>0.20799273387829245</v>
      </c>
      <c r="BH11" s="28"/>
      <c r="BK11" s="19" t="s">
        <v>67</v>
      </c>
      <c r="BL11" s="2">
        <v>28</v>
      </c>
      <c r="BM11" s="2">
        <v>38</v>
      </c>
      <c r="BN11" s="2">
        <v>0</v>
      </c>
      <c r="BO11" s="2">
        <v>1</v>
      </c>
      <c r="BP11" s="2">
        <v>19</v>
      </c>
      <c r="BQ11" s="2">
        <v>27</v>
      </c>
      <c r="BR11" s="2">
        <v>8</v>
      </c>
      <c r="BS11" s="2">
        <v>0</v>
      </c>
      <c r="BT11" s="2">
        <v>13</v>
      </c>
      <c r="BU11" s="2">
        <v>1</v>
      </c>
      <c r="BV11" s="2">
        <v>7</v>
      </c>
      <c r="BW11" s="2">
        <v>33</v>
      </c>
      <c r="BX11" s="2">
        <v>2</v>
      </c>
    </row>
    <row r="12" spans="1:76" x14ac:dyDescent="0.35">
      <c r="A12" s="2"/>
      <c r="B12" s="19" t="s">
        <v>43</v>
      </c>
      <c r="C12" s="2">
        <v>9068</v>
      </c>
      <c r="D12" s="2">
        <v>12913</v>
      </c>
      <c r="E12" s="2">
        <v>16513</v>
      </c>
      <c r="F12" s="2">
        <v>14147</v>
      </c>
      <c r="G12" s="2">
        <v>10240</v>
      </c>
      <c r="H12" s="2">
        <v>13274</v>
      </c>
      <c r="I12" s="2">
        <v>7795</v>
      </c>
      <c r="J12" s="2">
        <v>83950</v>
      </c>
      <c r="K12" s="2"/>
      <c r="L12" s="2"/>
      <c r="M12" s="20" t="s">
        <v>50</v>
      </c>
      <c r="N12" s="25">
        <f t="shared" si="0"/>
        <v>85992</v>
      </c>
      <c r="O12" s="25">
        <f t="shared" si="1"/>
        <v>13825</v>
      </c>
      <c r="P12" s="25">
        <f t="shared" si="2"/>
        <v>16773</v>
      </c>
      <c r="Q12" s="25">
        <f t="shared" si="3"/>
        <v>14303</v>
      </c>
      <c r="R12" s="25">
        <f t="shared" si="4"/>
        <v>13432</v>
      </c>
      <c r="S12" s="25">
        <f t="shared" si="5"/>
        <v>7590</v>
      </c>
      <c r="T12" s="25">
        <f t="shared" si="6"/>
        <v>8945</v>
      </c>
      <c r="U12" s="25">
        <f t="shared" si="7"/>
        <v>11124</v>
      </c>
      <c r="V12" s="2"/>
      <c r="W12" s="28"/>
      <c r="X12" s="19" t="s">
        <v>54</v>
      </c>
      <c r="Y12" s="2">
        <v>8973</v>
      </c>
      <c r="Z12" s="2">
        <v>1356</v>
      </c>
      <c r="AA12" s="2">
        <v>1225</v>
      </c>
      <c r="AB12" s="2">
        <v>13523</v>
      </c>
      <c r="AC12" s="2">
        <v>1974</v>
      </c>
      <c r="AD12" s="2">
        <v>623</v>
      </c>
      <c r="AE12" s="2">
        <v>16814</v>
      </c>
      <c r="AF12" s="2">
        <v>2909</v>
      </c>
      <c r="AG12" s="2">
        <v>1828</v>
      </c>
      <c r="AH12" s="2">
        <v>14078</v>
      </c>
      <c r="AI12" s="2">
        <v>1443</v>
      </c>
      <c r="AJ12" s="2">
        <v>943</v>
      </c>
      <c r="AK12" s="2">
        <v>11284</v>
      </c>
      <c r="AL12" s="2">
        <v>1299</v>
      </c>
      <c r="AM12" s="2">
        <v>606</v>
      </c>
      <c r="AN12" s="2">
        <v>13044</v>
      </c>
      <c r="AO12" s="2">
        <v>1274</v>
      </c>
      <c r="AP12" s="2">
        <v>506</v>
      </c>
      <c r="AQ12" s="2">
        <v>7248</v>
      </c>
      <c r="AR12" s="2">
        <v>815</v>
      </c>
      <c r="AS12" s="2">
        <v>1699</v>
      </c>
      <c r="AT12" s="2">
        <v>84964</v>
      </c>
      <c r="AU12" s="2">
        <v>11070</v>
      </c>
      <c r="AV12" s="2">
        <v>7430</v>
      </c>
      <c r="AW12" s="2"/>
      <c r="AX12" s="28"/>
      <c r="AY12" s="20" t="s">
        <v>48</v>
      </c>
      <c r="AZ12" s="28">
        <f t="shared" si="8"/>
        <v>0.17920369882375489</v>
      </c>
      <c r="BA12" s="28">
        <f t="shared" si="9"/>
        <v>0.17002703746620318</v>
      </c>
      <c r="BB12" s="28">
        <f t="shared" si="10"/>
        <v>0.24661572709223273</v>
      </c>
      <c r="BC12" s="28">
        <f t="shared" si="11"/>
        <v>0.13782755087102913</v>
      </c>
      <c r="BD12" s="28">
        <f t="shared" si="12"/>
        <v>9.745630461922597E-2</v>
      </c>
      <c r="BE12" s="28">
        <f t="shared" si="13"/>
        <v>0.29755717255717257</v>
      </c>
      <c r="BF12" s="28">
        <f t="shared" si="14"/>
        <v>0.21844018506278917</v>
      </c>
      <c r="BG12" s="28">
        <f t="shared" si="15"/>
        <v>0.1177352830896138</v>
      </c>
      <c r="BH12" s="28"/>
      <c r="BK12" s="19" t="s">
        <v>68</v>
      </c>
      <c r="BL12" s="2">
        <v>57</v>
      </c>
      <c r="BM12" s="2">
        <v>69</v>
      </c>
      <c r="BN12" s="2">
        <v>92</v>
      </c>
      <c r="BO12" s="2">
        <v>52</v>
      </c>
      <c r="BP12" s="2">
        <v>53</v>
      </c>
      <c r="BQ12" s="2">
        <v>68</v>
      </c>
      <c r="BR12" s="2">
        <v>63</v>
      </c>
      <c r="BS12" s="2">
        <v>49</v>
      </c>
      <c r="BT12" s="2">
        <v>119</v>
      </c>
      <c r="BU12" s="2">
        <v>80</v>
      </c>
      <c r="BV12" s="2">
        <v>58</v>
      </c>
      <c r="BW12" s="2">
        <v>74</v>
      </c>
      <c r="BX12" s="2">
        <v>76</v>
      </c>
    </row>
    <row r="13" spans="1:76" x14ac:dyDescent="0.35">
      <c r="A13" s="2"/>
      <c r="B13" s="19" t="s">
        <v>44</v>
      </c>
      <c r="C13" s="2">
        <v>9085</v>
      </c>
      <c r="D13" s="2">
        <v>12787</v>
      </c>
      <c r="E13" s="2">
        <v>16726</v>
      </c>
      <c r="F13" s="2">
        <v>13849</v>
      </c>
      <c r="G13" s="2">
        <v>10446</v>
      </c>
      <c r="H13" s="2">
        <v>12865</v>
      </c>
      <c r="I13" s="2">
        <v>7787</v>
      </c>
      <c r="J13" s="2">
        <v>83545</v>
      </c>
      <c r="K13" s="2"/>
      <c r="L13" s="2"/>
      <c r="M13" s="20" t="s">
        <v>51</v>
      </c>
      <c r="N13" s="25">
        <f t="shared" si="0"/>
        <v>85034</v>
      </c>
      <c r="O13" s="25">
        <f t="shared" si="1"/>
        <v>13516</v>
      </c>
      <c r="P13" s="25">
        <f t="shared" si="2"/>
        <v>16828</v>
      </c>
      <c r="Q13" s="25">
        <f t="shared" si="3"/>
        <v>14185</v>
      </c>
      <c r="R13" s="25">
        <f t="shared" si="4"/>
        <v>13143</v>
      </c>
      <c r="S13" s="25">
        <f t="shared" si="5"/>
        <v>7257</v>
      </c>
      <c r="T13" s="25">
        <f t="shared" si="6"/>
        <v>8890</v>
      </c>
      <c r="U13" s="25">
        <f t="shared" si="7"/>
        <v>11215</v>
      </c>
      <c r="V13" s="2"/>
      <c r="W13" s="28"/>
      <c r="X13" s="19" t="s">
        <v>43</v>
      </c>
      <c r="Y13" s="2">
        <v>9068</v>
      </c>
      <c r="Z13" s="2">
        <v>1257</v>
      </c>
      <c r="AA13" s="2">
        <v>1229</v>
      </c>
      <c r="AB13" s="2">
        <v>12913</v>
      </c>
      <c r="AC13" s="2">
        <v>1651</v>
      </c>
      <c r="AD13" s="2">
        <v>826</v>
      </c>
      <c r="AE13" s="2">
        <v>16513</v>
      </c>
      <c r="AF13" s="2">
        <v>2950</v>
      </c>
      <c r="AG13" s="2">
        <v>2366</v>
      </c>
      <c r="AH13" s="2">
        <v>14147</v>
      </c>
      <c r="AI13" s="2">
        <v>1516</v>
      </c>
      <c r="AJ13" s="2">
        <v>1014</v>
      </c>
      <c r="AK13" s="2">
        <v>10240</v>
      </c>
      <c r="AL13" s="2">
        <v>1435</v>
      </c>
      <c r="AM13" s="2">
        <v>864</v>
      </c>
      <c r="AN13" s="2">
        <v>13274</v>
      </c>
      <c r="AO13" s="2">
        <v>1385</v>
      </c>
      <c r="AP13" s="2">
        <v>759</v>
      </c>
      <c r="AQ13" s="2">
        <v>7795</v>
      </c>
      <c r="AR13" s="2">
        <v>908</v>
      </c>
      <c r="AS13" s="2">
        <v>1343</v>
      </c>
      <c r="AT13" s="2">
        <v>83950</v>
      </c>
      <c r="AU13" s="2">
        <v>11102</v>
      </c>
      <c r="AV13" s="2">
        <v>8401</v>
      </c>
      <c r="AW13" s="2"/>
      <c r="AX13" s="28"/>
      <c r="AY13" s="20" t="s">
        <v>49</v>
      </c>
      <c r="AZ13" s="28">
        <f t="shared" si="8"/>
        <v>0.18461178397987243</v>
      </c>
      <c r="BA13" s="28">
        <f t="shared" si="9"/>
        <v>0.1453845584425198</v>
      </c>
      <c r="BB13" s="28">
        <f t="shared" si="10"/>
        <v>0.25922833800465145</v>
      </c>
      <c r="BC13" s="28">
        <f t="shared" si="11"/>
        <v>0.13304442036836403</v>
      </c>
      <c r="BD13" s="28">
        <f t="shared" si="12"/>
        <v>9.7526236881559217E-2</v>
      </c>
      <c r="BE13" s="28">
        <f t="shared" si="13"/>
        <v>0.30706589827110997</v>
      </c>
      <c r="BF13" s="28">
        <f t="shared" si="14"/>
        <v>0.24841668486569121</v>
      </c>
      <c r="BG13" s="28">
        <f t="shared" si="15"/>
        <v>0.14706966457795798</v>
      </c>
      <c r="BH13" s="28"/>
      <c r="BK13" s="19" t="s">
        <v>286</v>
      </c>
      <c r="BL13" s="2">
        <v>61</v>
      </c>
      <c r="BM13" s="2">
        <v>70</v>
      </c>
      <c r="BN13" s="2">
        <v>49</v>
      </c>
      <c r="BO13" s="2">
        <v>21</v>
      </c>
      <c r="BP13" s="2">
        <v>66</v>
      </c>
      <c r="BQ13" s="2">
        <v>100</v>
      </c>
      <c r="BR13" s="2">
        <v>22</v>
      </c>
      <c r="BS13" s="2">
        <v>40</v>
      </c>
      <c r="BT13" s="2">
        <v>65</v>
      </c>
      <c r="BU13" s="2">
        <v>68</v>
      </c>
      <c r="BV13" s="2">
        <v>64</v>
      </c>
      <c r="BW13" s="2">
        <v>67</v>
      </c>
      <c r="BX13" s="2">
        <v>53</v>
      </c>
    </row>
    <row r="14" spans="1:76" x14ac:dyDescent="0.35">
      <c r="A14" s="2"/>
      <c r="B14" s="19" t="s">
        <v>45</v>
      </c>
      <c r="C14" s="2">
        <v>9208</v>
      </c>
      <c r="D14" s="2">
        <v>12416</v>
      </c>
      <c r="E14" s="2">
        <v>16543</v>
      </c>
      <c r="F14" s="2">
        <v>13533</v>
      </c>
      <c r="G14" s="2">
        <v>10232</v>
      </c>
      <c r="H14" s="2">
        <v>12927</v>
      </c>
      <c r="I14" s="2">
        <v>8142</v>
      </c>
      <c r="J14" s="2">
        <v>83001</v>
      </c>
      <c r="K14" s="2"/>
      <c r="L14" s="2"/>
      <c r="M14" s="20" t="s">
        <v>52</v>
      </c>
      <c r="N14" s="25">
        <f t="shared" si="0"/>
        <v>85502</v>
      </c>
      <c r="O14" s="25">
        <f t="shared" si="1"/>
        <v>13362</v>
      </c>
      <c r="P14" s="25">
        <f t="shared" si="2"/>
        <v>17098</v>
      </c>
      <c r="Q14" s="25">
        <f t="shared" si="3"/>
        <v>14312</v>
      </c>
      <c r="R14" s="25">
        <f t="shared" si="4"/>
        <v>13168</v>
      </c>
      <c r="S14" s="25">
        <f t="shared" si="5"/>
        <v>7481</v>
      </c>
      <c r="T14" s="25">
        <f t="shared" si="6"/>
        <v>8915</v>
      </c>
      <c r="U14" s="25">
        <f t="shared" si="7"/>
        <v>11166</v>
      </c>
      <c r="V14" s="2"/>
      <c r="W14" s="28"/>
      <c r="X14" s="19" t="s">
        <v>44</v>
      </c>
      <c r="Y14" s="2">
        <v>9085</v>
      </c>
      <c r="Z14" s="2">
        <v>1415</v>
      </c>
      <c r="AA14" s="2">
        <v>935</v>
      </c>
      <c r="AB14" s="2">
        <v>12787</v>
      </c>
      <c r="AC14" s="2">
        <v>1635</v>
      </c>
      <c r="AD14" s="2">
        <v>636</v>
      </c>
      <c r="AE14" s="2">
        <v>16726</v>
      </c>
      <c r="AF14" s="2">
        <v>2685</v>
      </c>
      <c r="AG14" s="2">
        <v>1699</v>
      </c>
      <c r="AH14" s="2">
        <v>13849</v>
      </c>
      <c r="AI14" s="2">
        <v>1273</v>
      </c>
      <c r="AJ14" s="2">
        <v>754</v>
      </c>
      <c r="AK14" s="2">
        <v>10446</v>
      </c>
      <c r="AL14" s="2">
        <v>1296</v>
      </c>
      <c r="AM14" s="2">
        <v>560</v>
      </c>
      <c r="AN14" s="2">
        <v>12865</v>
      </c>
      <c r="AO14" s="2">
        <v>1084</v>
      </c>
      <c r="AP14" s="2">
        <v>407</v>
      </c>
      <c r="AQ14" s="2">
        <v>7787</v>
      </c>
      <c r="AR14" s="2">
        <v>898</v>
      </c>
      <c r="AS14" s="2">
        <v>1133</v>
      </c>
      <c r="AT14" s="2">
        <v>83545</v>
      </c>
      <c r="AU14" s="2">
        <v>10286</v>
      </c>
      <c r="AV14" s="2">
        <v>6124</v>
      </c>
      <c r="AW14" s="2"/>
      <c r="AX14" s="28"/>
      <c r="AY14" s="20" t="s">
        <v>50</v>
      </c>
      <c r="AZ14" s="28">
        <f t="shared" si="8"/>
        <v>0.20104195739138525</v>
      </c>
      <c r="BA14" s="28">
        <f t="shared" si="9"/>
        <v>0.16773960216998191</v>
      </c>
      <c r="BB14" s="28">
        <f t="shared" si="10"/>
        <v>0.26781136350086449</v>
      </c>
      <c r="BC14" s="28">
        <f t="shared" si="11"/>
        <v>0.15332447738236735</v>
      </c>
      <c r="BD14" s="28">
        <f t="shared" si="12"/>
        <v>0.10780226325193568</v>
      </c>
      <c r="BE14" s="28">
        <f t="shared" si="13"/>
        <v>0.32793148880105399</v>
      </c>
      <c r="BF14" s="28">
        <f t="shared" si="14"/>
        <v>0.27389603130240359</v>
      </c>
      <c r="BG14" s="28">
        <f t="shared" si="15"/>
        <v>0.17053218266810499</v>
      </c>
      <c r="BH14" s="28"/>
      <c r="BK14" s="19" t="s">
        <v>69</v>
      </c>
      <c r="BL14" s="2">
        <v>8</v>
      </c>
      <c r="BM14" s="2">
        <v>6</v>
      </c>
      <c r="BN14" s="2">
        <v>4</v>
      </c>
      <c r="BO14" s="2">
        <v>1</v>
      </c>
      <c r="BP14" s="2">
        <v>3</v>
      </c>
      <c r="BQ14" s="2">
        <v>5</v>
      </c>
      <c r="BR14" s="2">
        <v>6</v>
      </c>
      <c r="BS14" s="2">
        <v>3</v>
      </c>
      <c r="BT14" s="2">
        <v>4</v>
      </c>
      <c r="BU14" s="2">
        <v>13</v>
      </c>
      <c r="BV14" s="2">
        <v>3</v>
      </c>
      <c r="BW14" s="2">
        <v>3</v>
      </c>
      <c r="BX14" s="2">
        <v>3</v>
      </c>
    </row>
    <row r="15" spans="1:76" x14ac:dyDescent="0.35">
      <c r="A15" s="2"/>
      <c r="B15" s="19" t="s">
        <v>46</v>
      </c>
      <c r="C15" s="2">
        <v>8888</v>
      </c>
      <c r="D15" s="2">
        <v>13272</v>
      </c>
      <c r="E15" s="2">
        <v>16594</v>
      </c>
      <c r="F15" s="2">
        <v>13551</v>
      </c>
      <c r="G15" s="2">
        <v>9421</v>
      </c>
      <c r="H15" s="2">
        <v>14033</v>
      </c>
      <c r="I15" s="2">
        <v>7881</v>
      </c>
      <c r="J15" s="2">
        <v>83640</v>
      </c>
      <c r="K15" s="2"/>
      <c r="L15" s="2"/>
      <c r="M15" s="20" t="s">
        <v>53</v>
      </c>
      <c r="N15" s="25">
        <f t="shared" si="0"/>
        <v>84574</v>
      </c>
      <c r="O15" s="25">
        <f t="shared" si="1"/>
        <v>12948</v>
      </c>
      <c r="P15" s="25">
        <f t="shared" si="2"/>
        <v>16907</v>
      </c>
      <c r="Q15" s="25">
        <f t="shared" si="3"/>
        <v>14189</v>
      </c>
      <c r="R15" s="25">
        <f t="shared" si="4"/>
        <v>13267</v>
      </c>
      <c r="S15" s="25">
        <f t="shared" si="5"/>
        <v>7192</v>
      </c>
      <c r="T15" s="25">
        <f t="shared" si="6"/>
        <v>8785</v>
      </c>
      <c r="U15" s="25">
        <f t="shared" si="7"/>
        <v>11286</v>
      </c>
      <c r="V15" s="2"/>
      <c r="W15" s="28"/>
      <c r="X15" s="19" t="s">
        <v>45</v>
      </c>
      <c r="Y15" s="2">
        <v>9208</v>
      </c>
      <c r="Z15" s="2">
        <v>1173</v>
      </c>
      <c r="AA15" s="2">
        <v>575</v>
      </c>
      <c r="AB15" s="2">
        <v>12416</v>
      </c>
      <c r="AC15" s="2">
        <v>1263</v>
      </c>
      <c r="AD15" s="2">
        <v>329</v>
      </c>
      <c r="AE15" s="2">
        <v>16543</v>
      </c>
      <c r="AF15" s="2">
        <v>2064</v>
      </c>
      <c r="AG15" s="2">
        <v>566</v>
      </c>
      <c r="AH15" s="2">
        <v>13533</v>
      </c>
      <c r="AI15" s="2">
        <v>1024</v>
      </c>
      <c r="AJ15" s="2">
        <v>332</v>
      </c>
      <c r="AK15" s="2">
        <v>10232</v>
      </c>
      <c r="AL15" s="2">
        <v>1061</v>
      </c>
      <c r="AM15" s="2">
        <v>263</v>
      </c>
      <c r="AN15" s="2">
        <v>12927</v>
      </c>
      <c r="AO15" s="2">
        <v>700</v>
      </c>
      <c r="AP15" s="2">
        <v>122</v>
      </c>
      <c r="AQ15" s="2">
        <v>8142</v>
      </c>
      <c r="AR15" s="2">
        <v>857</v>
      </c>
      <c r="AS15" s="2">
        <v>759</v>
      </c>
      <c r="AT15" s="2">
        <v>83001</v>
      </c>
      <c r="AU15" s="2">
        <v>8142</v>
      </c>
      <c r="AV15" s="2">
        <v>2946</v>
      </c>
      <c r="AW15" s="2"/>
      <c r="AX15" s="28"/>
      <c r="AY15" s="20" t="s">
        <v>51</v>
      </c>
      <c r="AZ15" s="28">
        <f t="shared" si="8"/>
        <v>0.21394971423195427</v>
      </c>
      <c r="BA15" s="28">
        <f t="shared" si="9"/>
        <v>0.18503995264871265</v>
      </c>
      <c r="BB15" s="28">
        <f t="shared" si="10"/>
        <v>0.29266698359876397</v>
      </c>
      <c r="BC15" s="28">
        <f t="shared" si="11"/>
        <v>0.16651392315826577</v>
      </c>
      <c r="BD15" s="28">
        <f t="shared" si="12"/>
        <v>0.11207486875142661</v>
      </c>
      <c r="BE15" s="28">
        <f t="shared" si="13"/>
        <v>0.35868816315281798</v>
      </c>
      <c r="BF15" s="28">
        <f t="shared" si="14"/>
        <v>0.27469066366704165</v>
      </c>
      <c r="BG15" s="28">
        <f t="shared" si="15"/>
        <v>0.16825679893000445</v>
      </c>
      <c r="BH15" s="28"/>
      <c r="BK15" s="19" t="s">
        <v>70</v>
      </c>
      <c r="BL15" s="2">
        <v>67</v>
      </c>
      <c r="BM15" s="2">
        <v>82</v>
      </c>
      <c r="BN15" s="2">
        <v>51</v>
      </c>
      <c r="BO15" s="2">
        <v>7</v>
      </c>
      <c r="BP15" s="2">
        <v>68</v>
      </c>
      <c r="BQ15" s="2">
        <v>73</v>
      </c>
      <c r="BR15" s="2">
        <v>13</v>
      </c>
      <c r="BS15" s="2">
        <v>4</v>
      </c>
      <c r="BT15" s="2">
        <v>42</v>
      </c>
      <c r="BU15" s="2">
        <v>17</v>
      </c>
      <c r="BV15" s="2">
        <v>63</v>
      </c>
      <c r="BW15" s="2">
        <v>27</v>
      </c>
      <c r="BX15" s="2">
        <v>44</v>
      </c>
    </row>
    <row r="16" spans="1:76" x14ac:dyDescent="0.35">
      <c r="A16" s="2"/>
      <c r="B16" s="19" t="s">
        <v>47</v>
      </c>
      <c r="C16" s="2">
        <v>9201</v>
      </c>
      <c r="D16" s="2">
        <v>12553</v>
      </c>
      <c r="E16" s="2">
        <v>15884</v>
      </c>
      <c r="F16" s="2">
        <v>12860</v>
      </c>
      <c r="G16" s="2">
        <v>9909</v>
      </c>
      <c r="H16" s="2">
        <v>12980</v>
      </c>
      <c r="I16" s="2">
        <v>7742</v>
      </c>
      <c r="J16" s="2">
        <v>81129</v>
      </c>
      <c r="K16" s="2"/>
      <c r="L16" s="2"/>
      <c r="M16" s="20" t="s">
        <v>54</v>
      </c>
      <c r="N16" s="25">
        <f>(VLOOKUP($M16,$B$7:$J$1048576,9, FALSE))</f>
        <v>84964</v>
      </c>
      <c r="O16" s="25">
        <f>(VLOOKUP($M16,$B$7:$J$1048576,3, FALSE))</f>
        <v>13523</v>
      </c>
      <c r="P16" s="25">
        <f t="shared" si="2"/>
        <v>16814</v>
      </c>
      <c r="Q16" s="25">
        <f t="shared" si="3"/>
        <v>14078</v>
      </c>
      <c r="R16" s="25">
        <f t="shared" si="4"/>
        <v>13044</v>
      </c>
      <c r="S16" s="25">
        <f t="shared" si="5"/>
        <v>7248</v>
      </c>
      <c r="T16" s="25">
        <f t="shared" si="6"/>
        <v>8973</v>
      </c>
      <c r="U16" s="25">
        <f t="shared" si="7"/>
        <v>11284</v>
      </c>
      <c r="V16" s="2"/>
      <c r="W16" s="28"/>
      <c r="X16" s="19" t="s">
        <v>46</v>
      </c>
      <c r="Y16" s="2">
        <v>8888</v>
      </c>
      <c r="Z16" s="2">
        <v>1334</v>
      </c>
      <c r="AA16" s="2">
        <v>1347</v>
      </c>
      <c r="AB16" s="2">
        <v>13272</v>
      </c>
      <c r="AC16" s="2">
        <v>1707</v>
      </c>
      <c r="AD16" s="2">
        <v>722</v>
      </c>
      <c r="AE16" s="2">
        <v>16594</v>
      </c>
      <c r="AF16" s="2">
        <v>2790</v>
      </c>
      <c r="AG16" s="2">
        <v>2182</v>
      </c>
      <c r="AH16" s="2">
        <v>13551</v>
      </c>
      <c r="AI16" s="2">
        <v>1509</v>
      </c>
      <c r="AJ16" s="2">
        <v>1026</v>
      </c>
      <c r="AK16" s="2">
        <v>9421</v>
      </c>
      <c r="AL16" s="2">
        <v>1265</v>
      </c>
      <c r="AM16" s="2">
        <v>783</v>
      </c>
      <c r="AN16" s="2">
        <v>14033</v>
      </c>
      <c r="AO16" s="2">
        <v>1292</v>
      </c>
      <c r="AP16" s="2">
        <v>652</v>
      </c>
      <c r="AQ16" s="2">
        <v>7881</v>
      </c>
      <c r="AR16" s="2">
        <v>930</v>
      </c>
      <c r="AS16" s="2">
        <v>1560</v>
      </c>
      <c r="AT16" s="2">
        <v>83640</v>
      </c>
      <c r="AU16" s="2">
        <v>10827</v>
      </c>
      <c r="AV16" s="2">
        <v>8272</v>
      </c>
      <c r="AW16" s="2"/>
      <c r="AX16" s="28"/>
      <c r="AY16" s="20" t="s">
        <v>52</v>
      </c>
      <c r="AZ16" s="28">
        <f t="shared" si="8"/>
        <v>0.19956258333138407</v>
      </c>
      <c r="BA16" s="28">
        <f t="shared" si="9"/>
        <v>0.16464601107618621</v>
      </c>
      <c r="BB16" s="28">
        <f t="shared" si="10"/>
        <v>0.26675634577143525</v>
      </c>
      <c r="BC16" s="28">
        <f t="shared" si="11"/>
        <v>0.14009223029625489</v>
      </c>
      <c r="BD16" s="28">
        <f t="shared" si="12"/>
        <v>0.12720230862697449</v>
      </c>
      <c r="BE16" s="28">
        <f t="shared" si="13"/>
        <v>0.34460633605133001</v>
      </c>
      <c r="BF16" s="28">
        <f t="shared" si="14"/>
        <v>0.25866517106001119</v>
      </c>
      <c r="BG16" s="28">
        <f t="shared" si="15"/>
        <v>0.15565108364678487</v>
      </c>
      <c r="BH16" s="28"/>
      <c r="BK16" s="19" t="s">
        <v>71</v>
      </c>
      <c r="BL16" s="2">
        <v>65</v>
      </c>
      <c r="BM16" s="2">
        <v>71</v>
      </c>
      <c r="BN16" s="2">
        <v>52</v>
      </c>
      <c r="BO16" s="2">
        <v>25</v>
      </c>
      <c r="BP16" s="2">
        <v>59</v>
      </c>
      <c r="BQ16" s="2">
        <v>90</v>
      </c>
      <c r="BR16" s="2">
        <v>42</v>
      </c>
      <c r="BS16" s="2">
        <v>53</v>
      </c>
      <c r="BT16" s="2">
        <v>62</v>
      </c>
      <c r="BU16" s="2">
        <v>88</v>
      </c>
      <c r="BV16" s="2">
        <v>61</v>
      </c>
      <c r="BW16" s="2">
        <v>21</v>
      </c>
      <c r="BX16" s="2">
        <v>25</v>
      </c>
    </row>
    <row r="17" spans="1:76" x14ac:dyDescent="0.35">
      <c r="A17" s="2"/>
      <c r="B17" s="19" t="s">
        <v>48</v>
      </c>
      <c r="C17" s="2">
        <v>9078</v>
      </c>
      <c r="D17" s="2">
        <v>12945</v>
      </c>
      <c r="E17" s="2">
        <v>16621</v>
      </c>
      <c r="F17" s="2">
        <v>13662</v>
      </c>
      <c r="G17" s="2">
        <v>10668</v>
      </c>
      <c r="H17" s="2">
        <v>12816</v>
      </c>
      <c r="I17" s="2">
        <v>7696</v>
      </c>
      <c r="J17" s="2">
        <v>83486</v>
      </c>
      <c r="K17" s="2"/>
      <c r="L17" s="2"/>
      <c r="M17" s="20"/>
      <c r="N17" s="25"/>
      <c r="O17" s="25"/>
      <c r="P17" s="25"/>
      <c r="Q17" s="25"/>
      <c r="R17" s="25"/>
      <c r="S17" s="25"/>
      <c r="T17" s="26"/>
      <c r="U17" s="2"/>
      <c r="V17" s="2"/>
      <c r="W17" s="28"/>
      <c r="X17" s="19" t="s">
        <v>47</v>
      </c>
      <c r="Y17" s="2">
        <v>9201</v>
      </c>
      <c r="Z17" s="2">
        <v>1377</v>
      </c>
      <c r="AA17" s="2">
        <v>1098</v>
      </c>
      <c r="AB17" s="2">
        <v>12553</v>
      </c>
      <c r="AC17" s="2">
        <v>1669</v>
      </c>
      <c r="AD17" s="2">
        <v>823</v>
      </c>
      <c r="AE17" s="2">
        <v>15884</v>
      </c>
      <c r="AF17" s="2">
        <v>2498</v>
      </c>
      <c r="AG17" s="2">
        <v>2118</v>
      </c>
      <c r="AH17" s="2">
        <v>12860</v>
      </c>
      <c r="AI17" s="2">
        <v>1372</v>
      </c>
      <c r="AJ17" s="2">
        <v>1008</v>
      </c>
      <c r="AK17" s="2">
        <v>9909</v>
      </c>
      <c r="AL17" s="2">
        <v>1263</v>
      </c>
      <c r="AM17" s="2">
        <v>798</v>
      </c>
      <c r="AN17" s="2">
        <v>12980</v>
      </c>
      <c r="AO17" s="2">
        <v>1283</v>
      </c>
      <c r="AP17" s="2">
        <v>611</v>
      </c>
      <c r="AQ17" s="2">
        <v>7742</v>
      </c>
      <c r="AR17" s="2">
        <v>897</v>
      </c>
      <c r="AS17" s="2">
        <v>1492</v>
      </c>
      <c r="AT17" s="2">
        <v>81129</v>
      </c>
      <c r="AU17" s="2">
        <v>10359</v>
      </c>
      <c r="AV17" s="2">
        <v>7948</v>
      </c>
      <c r="AW17" s="2"/>
      <c r="AX17" s="28"/>
      <c r="AY17" s="20" t="s">
        <v>53</v>
      </c>
      <c r="AZ17" s="28">
        <f t="shared" si="8"/>
        <v>0.21020644642561545</v>
      </c>
      <c r="BA17" s="28">
        <f t="shared" si="9"/>
        <v>0.14056224899598393</v>
      </c>
      <c r="BB17" s="28">
        <f t="shared" si="10"/>
        <v>0.28786893002898206</v>
      </c>
      <c r="BC17" s="28">
        <f t="shared" si="11"/>
        <v>0.1759813940376348</v>
      </c>
      <c r="BD17" s="28">
        <f t="shared" si="12"/>
        <v>0.12353960955754881</v>
      </c>
      <c r="BE17" s="28">
        <f t="shared" si="13"/>
        <v>0.36248609566184647</v>
      </c>
      <c r="BF17" s="28">
        <f t="shared" si="14"/>
        <v>0.27683551508252702</v>
      </c>
      <c r="BG17" s="28">
        <f t="shared" si="15"/>
        <v>0.16976785397838029</v>
      </c>
      <c r="BH17" s="28"/>
      <c r="BK17" s="19" t="s">
        <v>72</v>
      </c>
      <c r="BL17" s="2">
        <v>23</v>
      </c>
      <c r="BM17" s="2">
        <v>33</v>
      </c>
      <c r="BN17" s="2">
        <v>25</v>
      </c>
      <c r="BO17" s="2">
        <v>9</v>
      </c>
      <c r="BP17" s="2">
        <v>19</v>
      </c>
      <c r="BQ17" s="2">
        <v>39</v>
      </c>
      <c r="BR17" s="2">
        <v>16</v>
      </c>
      <c r="BS17" s="2">
        <v>13</v>
      </c>
      <c r="BT17" s="2">
        <v>17</v>
      </c>
      <c r="BU17" s="2">
        <v>20</v>
      </c>
      <c r="BV17" s="2">
        <v>1</v>
      </c>
      <c r="BW17" s="2">
        <v>10</v>
      </c>
      <c r="BX17" s="2">
        <v>23</v>
      </c>
    </row>
    <row r="18" spans="1:76" x14ac:dyDescent="0.35">
      <c r="A18" s="2"/>
      <c r="B18" s="19" t="s">
        <v>49</v>
      </c>
      <c r="C18" s="2">
        <v>9158</v>
      </c>
      <c r="D18" s="2">
        <v>13509</v>
      </c>
      <c r="E18" s="2">
        <v>16769</v>
      </c>
      <c r="F18" s="2">
        <v>13845</v>
      </c>
      <c r="G18" s="2">
        <v>10852</v>
      </c>
      <c r="H18" s="2">
        <v>13340</v>
      </c>
      <c r="I18" s="2">
        <v>7982</v>
      </c>
      <c r="J18" s="2">
        <v>85455</v>
      </c>
      <c r="K18" s="2"/>
      <c r="L18" s="2"/>
      <c r="M18" s="2"/>
      <c r="N18" s="2"/>
      <c r="O18" s="2"/>
      <c r="P18" s="2"/>
      <c r="Q18" s="2"/>
      <c r="R18" s="2"/>
      <c r="S18" s="2"/>
      <c r="T18" s="2"/>
      <c r="U18" s="2"/>
      <c r="V18" s="2"/>
      <c r="X18" s="19" t="s">
        <v>48</v>
      </c>
      <c r="Y18" s="2">
        <v>9078</v>
      </c>
      <c r="Z18" s="2">
        <v>1222</v>
      </c>
      <c r="AA18" s="2">
        <v>761</v>
      </c>
      <c r="AB18" s="2">
        <v>12945</v>
      </c>
      <c r="AC18" s="2">
        <v>1574</v>
      </c>
      <c r="AD18" s="2">
        <v>627</v>
      </c>
      <c r="AE18" s="2">
        <v>16621</v>
      </c>
      <c r="AF18" s="2">
        <v>2594</v>
      </c>
      <c r="AG18" s="2">
        <v>1505</v>
      </c>
      <c r="AH18" s="2">
        <v>13662</v>
      </c>
      <c r="AI18" s="2">
        <v>1272</v>
      </c>
      <c r="AJ18" s="2">
        <v>611</v>
      </c>
      <c r="AK18" s="2">
        <v>10668</v>
      </c>
      <c r="AL18" s="2">
        <v>892</v>
      </c>
      <c r="AM18" s="2">
        <v>364</v>
      </c>
      <c r="AN18" s="2">
        <v>12816</v>
      </c>
      <c r="AO18" s="2">
        <v>874</v>
      </c>
      <c r="AP18" s="2">
        <v>375</v>
      </c>
      <c r="AQ18" s="2">
        <v>7696</v>
      </c>
      <c r="AR18" s="2">
        <v>923</v>
      </c>
      <c r="AS18" s="2">
        <v>1367</v>
      </c>
      <c r="AT18" s="2">
        <v>83486</v>
      </c>
      <c r="AU18" s="2">
        <v>9351</v>
      </c>
      <c r="AV18" s="2">
        <v>5610</v>
      </c>
      <c r="AW18" s="2"/>
      <c r="AY18" s="20" t="s">
        <v>54</v>
      </c>
      <c r="AZ18" s="28">
        <f t="shared" si="8"/>
        <v>0.2177392778117791</v>
      </c>
      <c r="BA18" s="28">
        <f t="shared" si="9"/>
        <v>0.19204318568365009</v>
      </c>
      <c r="BB18" s="28">
        <f t="shared" si="10"/>
        <v>0.28172951112168432</v>
      </c>
      <c r="BC18" s="28">
        <f t="shared" si="11"/>
        <v>0.16948430174740731</v>
      </c>
      <c r="BD18" s="28">
        <f t="shared" si="12"/>
        <v>0.13646120821833793</v>
      </c>
      <c r="BE18" s="28">
        <f t="shared" si="13"/>
        <v>0.34685430463576161</v>
      </c>
      <c r="BF18" s="28">
        <f t="shared" si="14"/>
        <v>0.28764069987741003</v>
      </c>
      <c r="BG18" s="28">
        <f t="shared" si="15"/>
        <v>0.16882311237149947</v>
      </c>
      <c r="BH18" s="28"/>
      <c r="BK18" s="19" t="s">
        <v>73</v>
      </c>
      <c r="BL18" s="2">
        <v>57</v>
      </c>
      <c r="BM18" s="2">
        <v>40</v>
      </c>
      <c r="BN18" s="2">
        <v>21</v>
      </c>
      <c r="BO18" s="2">
        <v>10</v>
      </c>
      <c r="BP18" s="2">
        <v>43</v>
      </c>
      <c r="BQ18" s="2">
        <v>32</v>
      </c>
      <c r="BR18" s="2">
        <v>31</v>
      </c>
      <c r="BS18" s="2">
        <v>1</v>
      </c>
      <c r="BT18" s="2">
        <v>27</v>
      </c>
      <c r="BU18" s="2">
        <v>19</v>
      </c>
      <c r="BV18" s="2">
        <v>33</v>
      </c>
      <c r="BW18" s="2">
        <v>20</v>
      </c>
      <c r="BX18" s="2">
        <v>25</v>
      </c>
    </row>
    <row r="19" spans="1:76" x14ac:dyDescent="0.35">
      <c r="A19" s="2"/>
      <c r="B19" s="19" t="s">
        <v>50</v>
      </c>
      <c r="C19" s="2">
        <v>8945</v>
      </c>
      <c r="D19" s="2">
        <v>13825</v>
      </c>
      <c r="E19" s="2">
        <v>16773</v>
      </c>
      <c r="F19" s="2">
        <v>14303</v>
      </c>
      <c r="G19" s="2">
        <v>11124</v>
      </c>
      <c r="H19" s="2">
        <v>13432</v>
      </c>
      <c r="I19" s="2">
        <v>7590</v>
      </c>
      <c r="J19" s="2">
        <v>85992</v>
      </c>
      <c r="K19" s="2"/>
      <c r="L19" s="2"/>
      <c r="M19" s="2"/>
      <c r="N19" s="2"/>
      <c r="O19" s="2"/>
      <c r="P19" s="2"/>
      <c r="Q19" s="2"/>
      <c r="R19" s="2"/>
      <c r="S19" s="2"/>
      <c r="T19" s="2"/>
      <c r="U19" s="2"/>
      <c r="V19" s="2"/>
      <c r="X19" s="19" t="s">
        <v>49</v>
      </c>
      <c r="Y19" s="2">
        <v>9158</v>
      </c>
      <c r="Z19" s="2">
        <v>1277</v>
      </c>
      <c r="AA19" s="2">
        <v>998</v>
      </c>
      <c r="AB19" s="2">
        <v>13509</v>
      </c>
      <c r="AC19" s="2">
        <v>1519</v>
      </c>
      <c r="AD19" s="2">
        <v>445</v>
      </c>
      <c r="AE19" s="2">
        <v>16769</v>
      </c>
      <c r="AF19" s="2">
        <v>2689</v>
      </c>
      <c r="AG19" s="2">
        <v>1658</v>
      </c>
      <c r="AH19" s="2">
        <v>13845</v>
      </c>
      <c r="AI19" s="2">
        <v>1227</v>
      </c>
      <c r="AJ19" s="2">
        <v>615</v>
      </c>
      <c r="AK19" s="2">
        <v>10852</v>
      </c>
      <c r="AL19" s="2">
        <v>1134</v>
      </c>
      <c r="AM19" s="2">
        <v>462</v>
      </c>
      <c r="AN19" s="2">
        <v>13340</v>
      </c>
      <c r="AO19" s="2">
        <v>999</v>
      </c>
      <c r="AP19" s="2">
        <v>302</v>
      </c>
      <c r="AQ19" s="2">
        <v>7982</v>
      </c>
      <c r="AR19" s="2">
        <v>958</v>
      </c>
      <c r="AS19" s="2">
        <v>1493</v>
      </c>
      <c r="AT19" s="2">
        <v>85455</v>
      </c>
      <c r="AU19" s="2">
        <v>9803</v>
      </c>
      <c r="AV19" s="2">
        <v>5973</v>
      </c>
      <c r="AW19" s="2"/>
      <c r="AY19" s="20"/>
      <c r="AZ19" s="28"/>
      <c r="BA19" s="28"/>
      <c r="BB19" s="28"/>
      <c r="BC19" s="28"/>
      <c r="BD19" s="28"/>
      <c r="BE19" s="28"/>
      <c r="BF19" s="28"/>
      <c r="BG19" s="28"/>
      <c r="BH19" s="28"/>
      <c r="BK19" s="19" t="s">
        <v>74</v>
      </c>
      <c r="BL19" s="2">
        <v>14</v>
      </c>
      <c r="BM19" s="2">
        <v>38</v>
      </c>
      <c r="BN19" s="2">
        <v>10</v>
      </c>
      <c r="BO19" s="2">
        <v>5</v>
      </c>
      <c r="BP19" s="2">
        <v>27</v>
      </c>
      <c r="BQ19" s="2">
        <v>16</v>
      </c>
      <c r="BR19" s="2">
        <v>7</v>
      </c>
      <c r="BS19" s="2">
        <v>1</v>
      </c>
      <c r="BT19" s="2">
        <v>20</v>
      </c>
      <c r="BU19" s="2">
        <v>6</v>
      </c>
      <c r="BV19" s="2">
        <v>11</v>
      </c>
      <c r="BW19" s="2">
        <v>8</v>
      </c>
      <c r="BX19" s="2">
        <v>3</v>
      </c>
    </row>
    <row r="20" spans="1:76" x14ac:dyDescent="0.35">
      <c r="A20" s="2"/>
      <c r="H20" s="2"/>
      <c r="I20" s="2"/>
      <c r="J20" s="2"/>
      <c r="K20" s="2"/>
      <c r="L20" s="2"/>
      <c r="M20" s="2"/>
      <c r="N20" s="2"/>
      <c r="O20" s="2"/>
      <c r="P20" s="2"/>
      <c r="Q20" s="2"/>
      <c r="R20" s="2"/>
      <c r="S20" s="2"/>
      <c r="T20" s="2"/>
      <c r="U20" s="2"/>
      <c r="V20" s="2"/>
      <c r="X20" s="19" t="s">
        <v>50</v>
      </c>
      <c r="Y20" s="2">
        <v>8945</v>
      </c>
      <c r="Z20" s="2">
        <v>1227</v>
      </c>
      <c r="AA20" s="2">
        <v>1223</v>
      </c>
      <c r="AB20" s="2">
        <v>13825</v>
      </c>
      <c r="AC20" s="2">
        <v>1654</v>
      </c>
      <c r="AD20" s="2">
        <v>665</v>
      </c>
      <c r="AE20" s="2">
        <v>16773</v>
      </c>
      <c r="AF20" s="2">
        <v>2579</v>
      </c>
      <c r="AG20" s="2">
        <v>1913</v>
      </c>
      <c r="AH20" s="2">
        <v>14303</v>
      </c>
      <c r="AI20" s="2">
        <v>1358</v>
      </c>
      <c r="AJ20" s="2">
        <v>835</v>
      </c>
      <c r="AK20" s="2">
        <v>11124</v>
      </c>
      <c r="AL20" s="2">
        <v>1345</v>
      </c>
      <c r="AM20" s="2">
        <v>552</v>
      </c>
      <c r="AN20" s="2">
        <v>13432</v>
      </c>
      <c r="AO20" s="2">
        <v>1050</v>
      </c>
      <c r="AP20" s="2">
        <v>398</v>
      </c>
      <c r="AQ20" s="2">
        <v>7590</v>
      </c>
      <c r="AR20" s="2">
        <v>873</v>
      </c>
      <c r="AS20" s="2">
        <v>1616</v>
      </c>
      <c r="AT20" s="2">
        <v>85992</v>
      </c>
      <c r="AU20" s="2">
        <v>10086</v>
      </c>
      <c r="AV20" s="2">
        <v>7202</v>
      </c>
      <c r="AW20" s="2"/>
      <c r="BK20" s="19" t="s">
        <v>75</v>
      </c>
      <c r="BL20" s="2">
        <v>22</v>
      </c>
      <c r="BM20" s="2">
        <v>44</v>
      </c>
      <c r="BN20" s="2">
        <v>48</v>
      </c>
      <c r="BO20" s="2">
        <v>2</v>
      </c>
      <c r="BP20" s="2">
        <v>23</v>
      </c>
      <c r="BQ20" s="2">
        <v>27</v>
      </c>
      <c r="BR20" s="2">
        <v>18</v>
      </c>
      <c r="BS20" s="2">
        <v>64</v>
      </c>
      <c r="BT20" s="2">
        <v>60</v>
      </c>
      <c r="BU20" s="2">
        <v>67</v>
      </c>
      <c r="BV20" s="2">
        <v>58</v>
      </c>
      <c r="BW20" s="2">
        <v>14</v>
      </c>
      <c r="BX20" s="2">
        <v>14</v>
      </c>
    </row>
    <row r="21" spans="1:76" x14ac:dyDescent="0.35">
      <c r="BK21" s="19" t="s">
        <v>76</v>
      </c>
      <c r="BL21" s="2">
        <v>0</v>
      </c>
      <c r="BM21" s="2">
        <v>0</v>
      </c>
      <c r="BN21" s="2">
        <v>0</v>
      </c>
      <c r="BO21" s="2">
        <v>0</v>
      </c>
      <c r="BP21" s="2">
        <v>0</v>
      </c>
      <c r="BQ21" s="2">
        <v>0</v>
      </c>
      <c r="BR21" s="2">
        <v>0</v>
      </c>
      <c r="BS21" s="2">
        <v>0</v>
      </c>
      <c r="BT21" s="2">
        <v>0</v>
      </c>
      <c r="BU21" s="2">
        <v>0</v>
      </c>
      <c r="BV21" s="2">
        <v>0</v>
      </c>
      <c r="BW21" s="2">
        <v>0</v>
      </c>
      <c r="BX21" s="2">
        <v>0</v>
      </c>
    </row>
    <row r="22" spans="1:76" x14ac:dyDescent="0.35">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Z22" t="s">
        <v>40</v>
      </c>
      <c r="BA22" t="s">
        <v>1</v>
      </c>
      <c r="BB22" t="s">
        <v>220</v>
      </c>
      <c r="BC22" t="s">
        <v>249</v>
      </c>
      <c r="BD22" s="44" t="s">
        <v>217</v>
      </c>
      <c r="BE22" s="53" t="s">
        <v>218</v>
      </c>
      <c r="BF22" s="53" t="s">
        <v>252</v>
      </c>
      <c r="BG22" s="53" t="s">
        <v>251</v>
      </c>
      <c r="BH22" s="53"/>
      <c r="BK22" s="19" t="s">
        <v>77</v>
      </c>
      <c r="BL22" s="2">
        <v>6</v>
      </c>
      <c r="BM22" s="2">
        <v>5</v>
      </c>
      <c r="BN22" s="2">
        <v>1</v>
      </c>
      <c r="BO22" s="2">
        <v>4</v>
      </c>
      <c r="BP22" s="2">
        <v>1</v>
      </c>
      <c r="BQ22" s="2">
        <v>5</v>
      </c>
      <c r="BR22" s="2">
        <v>3</v>
      </c>
      <c r="BS22" s="2">
        <v>0</v>
      </c>
      <c r="BT22" s="2">
        <v>5</v>
      </c>
      <c r="BU22" s="2">
        <v>0</v>
      </c>
      <c r="BV22" s="2">
        <v>5</v>
      </c>
      <c r="BW22" s="2">
        <v>3</v>
      </c>
      <c r="BX22" s="2">
        <v>0</v>
      </c>
    </row>
    <row r="23" spans="1:76" x14ac:dyDescent="0.35">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1" t="s">
        <v>42</v>
      </c>
      <c r="AZ23" s="28">
        <f>VLOOKUP($AY23,$X$8:$AV$1048576,25,FALSE)/VLOOKUP($AY23,$X$8:$AV$1048576,23,FALSE)</f>
        <v>9.7874673691487973E-2</v>
      </c>
      <c r="BA23" s="28">
        <f>VLOOKUP($AY23,$X$8:$AV$1048576,7,FALSE)/VLOOKUP($AY23,$X$8:$AV$1048576,5,FALSE)</f>
        <v>5.7777777777777775E-2</v>
      </c>
      <c r="BB23" s="28">
        <f>VLOOKUP($AY23,$X$8:$AV$1048576,10,FALSE)/VLOOKUP($AY23,$X$8:$AV$1048576,8,FALSE)</f>
        <v>0.12623704052780396</v>
      </c>
      <c r="BC23" s="28">
        <f>VLOOKUP($AY23,$X$8:$AV$1048576,13,FALSE)/VLOOKUP($AY23,$X$8:$AV$1048576,11,FALSE)</f>
        <v>9.0849673202614376E-2</v>
      </c>
      <c r="BD23" s="28">
        <f>VLOOKUP($AY23,$X$8:$AV$1048576,19,FALSE)/VLOOKUP($AY23,$X$8:$AV$1048576,17,FALSE)</f>
        <v>5.9624448268122993E-2</v>
      </c>
      <c r="BE23" s="28">
        <f>VLOOKUP($AY23,$X$8:$AV$1048576,22,FALSE)/VLOOKUP($AY23,$X$8:$AV$1048576,20,FALSE)</f>
        <v>0.19588322346293555</v>
      </c>
      <c r="BF23" s="28">
        <f>VLOOKUP($AY23,$X$8:$AV$1048576,4,FALSE)/VLOOKUP($AY23,$X$8:$AV$1048576,2,FALSE)</f>
        <v>0.12884350619550253</v>
      </c>
      <c r="BG23" s="28">
        <f>VLOOKUP($AY23,$X$8:$AV$1048576,16,FALSE)/VLOOKUP($AY23,$X$8:$AV$1048576,14,FALSE)</f>
        <v>6.4778826577827131E-2</v>
      </c>
      <c r="BH23" s="28"/>
      <c r="BK23" s="19" t="s">
        <v>78</v>
      </c>
      <c r="BL23" s="2">
        <v>11</v>
      </c>
      <c r="BM23" s="2">
        <v>35</v>
      </c>
      <c r="BN23" s="2">
        <v>22</v>
      </c>
      <c r="BO23" s="2">
        <v>6</v>
      </c>
      <c r="BP23" s="2">
        <v>28</v>
      </c>
      <c r="BQ23" s="2">
        <v>26</v>
      </c>
      <c r="BR23" s="2">
        <v>15</v>
      </c>
      <c r="BS23" s="2">
        <v>4</v>
      </c>
      <c r="BT23" s="2">
        <v>6</v>
      </c>
      <c r="BU23" s="2">
        <v>19</v>
      </c>
      <c r="BV23" s="2">
        <v>17</v>
      </c>
      <c r="BW23" s="2">
        <v>11</v>
      </c>
      <c r="BX23" s="2">
        <v>11</v>
      </c>
    </row>
    <row r="24" spans="1:76" x14ac:dyDescent="0.35">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0" t="s">
        <v>43</v>
      </c>
      <c r="AZ24" s="28">
        <f t="shared" ref="AZ24:AZ35" si="16">VLOOKUP($AY24,$X$8:$AV$1048576,25,FALSE)/VLOOKUP($AY24,$X$8:$AV$1048576,23,FALSE)</f>
        <v>0.10007147111375819</v>
      </c>
      <c r="BA24" s="28">
        <f t="shared" ref="BA24:BA35" si="17">VLOOKUP($AY24,$X$8:$AV$1048576,7,FALSE)/VLOOKUP($AY24,$X$8:$AV$1048576,5,FALSE)</f>
        <v>6.3966545341903505E-2</v>
      </c>
      <c r="BB24" s="28">
        <f t="shared" ref="BB24:BB35" si="18">VLOOKUP($AY24,$X$8:$AV$1048576,10,FALSE)/VLOOKUP($AY24,$X$8:$AV$1048576,8,FALSE)</f>
        <v>0.14328105129292074</v>
      </c>
      <c r="BC24" s="28">
        <f t="shared" ref="BC24:BC35" si="19">VLOOKUP($AY24,$X$8:$AV$1048576,13,FALSE)/VLOOKUP($AY24,$X$8:$AV$1048576,11,FALSE)</f>
        <v>7.1675973704672366E-2</v>
      </c>
      <c r="BD24" s="28">
        <f t="shared" ref="BD24:BD35" si="20">VLOOKUP($AY24,$X$8:$AV$1048576,19,FALSE)/VLOOKUP($AY24,$X$8:$AV$1048576,17,FALSE)</f>
        <v>5.7179448546029833E-2</v>
      </c>
      <c r="BE24" s="28">
        <f t="shared" ref="BE24:BE35" si="21">VLOOKUP($AY24,$X$8:$AV$1048576,22,FALSE)/VLOOKUP($AY24,$X$8:$AV$1048576,20,FALSE)</f>
        <v>0.17228992944194996</v>
      </c>
      <c r="BF24" s="28">
        <f t="shared" ref="BF24:BF35" si="22">VLOOKUP($AY24,$X$8:$AV$1048576,4,FALSE)/VLOOKUP($AY24,$X$8:$AV$1048576,2,FALSE)</f>
        <v>0.13553153947948832</v>
      </c>
      <c r="BG24" s="28">
        <f t="shared" ref="BG24:BG35" si="23">VLOOKUP($AY24,$X$8:$AV$1048576,16,FALSE)/VLOOKUP($AY24,$X$8:$AV$1048576,14,FALSE)</f>
        <v>8.4375000000000006E-2</v>
      </c>
      <c r="BH24" s="28"/>
      <c r="BK24" s="19" t="s">
        <v>79</v>
      </c>
      <c r="BL24" s="2">
        <v>39</v>
      </c>
      <c r="BM24" s="2">
        <v>104</v>
      </c>
      <c r="BN24" s="2">
        <v>101</v>
      </c>
      <c r="BO24" s="2">
        <v>12</v>
      </c>
      <c r="BP24" s="2">
        <v>55</v>
      </c>
      <c r="BQ24" s="2">
        <v>78</v>
      </c>
      <c r="BR24" s="2">
        <v>77</v>
      </c>
      <c r="BS24" s="2">
        <v>24</v>
      </c>
      <c r="BT24" s="2">
        <v>48</v>
      </c>
      <c r="BU24" s="2">
        <v>58</v>
      </c>
      <c r="BV24" s="2">
        <v>70</v>
      </c>
      <c r="BW24" s="2">
        <v>93</v>
      </c>
      <c r="BX24" s="2">
        <v>33</v>
      </c>
    </row>
    <row r="25" spans="1:76" x14ac:dyDescent="0.35">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0" t="s">
        <v>44</v>
      </c>
      <c r="AZ25" s="28">
        <f t="shared" si="16"/>
        <v>7.3301813393979287E-2</v>
      </c>
      <c r="BA25" s="28">
        <f t="shared" si="17"/>
        <v>4.9738015171658718E-2</v>
      </c>
      <c r="BB25" s="28">
        <f t="shared" si="18"/>
        <v>0.10157838096376898</v>
      </c>
      <c r="BC25" s="28">
        <f t="shared" si="19"/>
        <v>5.444436421402267E-2</v>
      </c>
      <c r="BD25" s="28">
        <f t="shared" si="20"/>
        <v>3.1636222308589194E-2</v>
      </c>
      <c r="BE25" s="28">
        <f t="shared" si="21"/>
        <v>0.14549890843713881</v>
      </c>
      <c r="BF25" s="28">
        <f t="shared" si="22"/>
        <v>0.10291689598238855</v>
      </c>
      <c r="BG25" s="28">
        <f t="shared" si="23"/>
        <v>5.3609036951943329E-2</v>
      </c>
      <c r="BH25" s="28"/>
      <c r="BK25" s="19" t="s">
        <v>80</v>
      </c>
      <c r="BL25" s="2">
        <v>68</v>
      </c>
      <c r="BM25" s="2">
        <v>56</v>
      </c>
      <c r="BN25" s="2">
        <v>30</v>
      </c>
      <c r="BO25" s="2">
        <v>8</v>
      </c>
      <c r="BP25" s="2">
        <v>50</v>
      </c>
      <c r="BQ25" s="2">
        <v>43</v>
      </c>
      <c r="BR25" s="2">
        <v>29</v>
      </c>
      <c r="BS25" s="2">
        <v>22</v>
      </c>
      <c r="BT25" s="2">
        <v>20</v>
      </c>
      <c r="BU25" s="2">
        <v>41</v>
      </c>
      <c r="BV25" s="2">
        <v>29</v>
      </c>
      <c r="BW25" s="2">
        <v>14</v>
      </c>
      <c r="BX25" s="2">
        <v>45</v>
      </c>
    </row>
    <row r="26" spans="1:76" x14ac:dyDescent="0.35">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0" t="s">
        <v>45</v>
      </c>
      <c r="AZ26" s="28">
        <f t="shared" si="16"/>
        <v>3.5493548270502766E-2</v>
      </c>
      <c r="BA26" s="28">
        <f t="shared" si="17"/>
        <v>2.6498067010309278E-2</v>
      </c>
      <c r="BB26" s="28">
        <f t="shared" si="18"/>
        <v>3.4213866892341169E-2</v>
      </c>
      <c r="BC26" s="28">
        <f t="shared" si="19"/>
        <v>2.4532623956255079E-2</v>
      </c>
      <c r="BD26" s="28">
        <f t="shared" si="20"/>
        <v>9.437611201361492E-3</v>
      </c>
      <c r="BE26" s="28">
        <f t="shared" si="21"/>
        <v>9.3220338983050849E-2</v>
      </c>
      <c r="BF26" s="28">
        <f t="shared" si="22"/>
        <v>6.2445699391833191E-2</v>
      </c>
      <c r="BG26" s="28">
        <f t="shared" si="23"/>
        <v>2.570367474589523E-2</v>
      </c>
      <c r="BH26" s="28"/>
      <c r="BK26" s="19" t="s">
        <v>81</v>
      </c>
      <c r="BL26" s="2">
        <v>3</v>
      </c>
      <c r="BM26" s="2">
        <v>0</v>
      </c>
      <c r="BN26" s="2">
        <v>3</v>
      </c>
      <c r="BO26" s="2">
        <v>3</v>
      </c>
      <c r="BP26" s="2">
        <v>4</v>
      </c>
      <c r="BQ26" s="2">
        <v>2</v>
      </c>
      <c r="BR26" s="2">
        <v>0</v>
      </c>
      <c r="BS26" s="2">
        <v>2</v>
      </c>
      <c r="BT26" s="2">
        <v>0</v>
      </c>
      <c r="BU26" s="2">
        <v>2</v>
      </c>
      <c r="BV26" s="2">
        <v>0</v>
      </c>
      <c r="BW26" s="2">
        <v>2</v>
      </c>
      <c r="BX26" s="2">
        <v>1</v>
      </c>
    </row>
    <row r="27" spans="1:76" x14ac:dyDescent="0.35">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0" t="s">
        <v>46</v>
      </c>
      <c r="AZ27" s="28">
        <f t="shared" si="16"/>
        <v>9.8900047824007659E-2</v>
      </c>
      <c r="BA27" s="28">
        <f t="shared" si="17"/>
        <v>5.4400241109101868E-2</v>
      </c>
      <c r="BB27" s="28">
        <f t="shared" si="18"/>
        <v>0.13149331083524166</v>
      </c>
      <c r="BC27" s="28">
        <f t="shared" si="19"/>
        <v>7.5713969448749169E-2</v>
      </c>
      <c r="BD27" s="28">
        <f t="shared" si="20"/>
        <v>4.6461911209292384E-2</v>
      </c>
      <c r="BE27" s="28">
        <f t="shared" si="21"/>
        <v>0.19794442329653597</v>
      </c>
      <c r="BF27" s="28">
        <f t="shared" si="22"/>
        <v>0.15155265526552655</v>
      </c>
      <c r="BG27" s="28">
        <f t="shared" si="23"/>
        <v>8.3112196157520427E-2</v>
      </c>
      <c r="BH27" s="28"/>
      <c r="BK27" s="19" t="s">
        <v>82</v>
      </c>
      <c r="BL27" s="2">
        <v>140</v>
      </c>
      <c r="BM27" s="2">
        <v>70</v>
      </c>
      <c r="BN27" s="2">
        <v>119</v>
      </c>
      <c r="BO27" s="2">
        <v>39</v>
      </c>
      <c r="BP27" s="2">
        <v>115</v>
      </c>
      <c r="BQ27" s="2">
        <v>163</v>
      </c>
      <c r="BR27" s="2">
        <v>102</v>
      </c>
      <c r="BS27" s="2">
        <v>76</v>
      </c>
      <c r="BT27" s="2">
        <v>85</v>
      </c>
      <c r="BU27" s="2">
        <v>121</v>
      </c>
      <c r="BV27" s="2">
        <v>44</v>
      </c>
      <c r="BW27" s="2">
        <v>66</v>
      </c>
      <c r="BX27" s="2">
        <v>78</v>
      </c>
    </row>
    <row r="28" spans="1:76" x14ac:dyDescent="0.35">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0" t="s">
        <v>47</v>
      </c>
      <c r="AZ28" s="28">
        <f t="shared" si="16"/>
        <v>9.7967434579496845E-2</v>
      </c>
      <c r="BA28" s="28">
        <f>VLOOKUP($AY28,$X$8:$AV$1048576,7,FALSE)/VLOOKUP($AY28,$X$8:$AV$1048576,5,FALSE)</f>
        <v>6.5562017047717677E-2</v>
      </c>
      <c r="BB28" s="28">
        <f t="shared" si="18"/>
        <v>0.13334172752455301</v>
      </c>
      <c r="BC28" s="28">
        <f t="shared" si="19"/>
        <v>7.8382581648522548E-2</v>
      </c>
      <c r="BD28" s="28">
        <f t="shared" si="20"/>
        <v>4.707241910631741E-2</v>
      </c>
      <c r="BE28" s="28">
        <f t="shared" si="21"/>
        <v>0.19271506070782743</v>
      </c>
      <c r="BF28" s="28">
        <f t="shared" si="22"/>
        <v>0.11933485490707532</v>
      </c>
      <c r="BG28" s="28">
        <f t="shared" si="23"/>
        <v>8.0532848925219502E-2</v>
      </c>
      <c r="BH28" s="28"/>
      <c r="BK28" s="19" t="s">
        <v>83</v>
      </c>
      <c r="BL28" s="2">
        <v>5</v>
      </c>
      <c r="BM28" s="2">
        <v>4</v>
      </c>
      <c r="BN28" s="2">
        <v>1</v>
      </c>
      <c r="BO28" s="2">
        <v>4</v>
      </c>
      <c r="BP28" s="2">
        <v>3</v>
      </c>
      <c r="BQ28" s="2">
        <v>0</v>
      </c>
      <c r="BR28" s="2">
        <v>2</v>
      </c>
      <c r="BS28" s="2">
        <v>0</v>
      </c>
      <c r="BT28" s="2">
        <v>0</v>
      </c>
      <c r="BU28" s="2">
        <v>13</v>
      </c>
      <c r="BV28" s="2">
        <v>0</v>
      </c>
      <c r="BW28" s="2">
        <v>15</v>
      </c>
      <c r="BX28" s="2">
        <v>3</v>
      </c>
    </row>
    <row r="29" spans="1:76" x14ac:dyDescent="0.35">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0" t="s">
        <v>48</v>
      </c>
      <c r="AZ29" s="28">
        <f t="shared" si="16"/>
        <v>6.7196895287832695E-2</v>
      </c>
      <c r="BA29" s="28">
        <f t="shared" si="17"/>
        <v>4.8435689455388183E-2</v>
      </c>
      <c r="BB29" s="28">
        <f t="shared" si="18"/>
        <v>9.0548101798929068E-2</v>
      </c>
      <c r="BC29" s="28">
        <f t="shared" si="19"/>
        <v>4.4722588200849067E-2</v>
      </c>
      <c r="BD29" s="28">
        <f t="shared" si="20"/>
        <v>2.9260299625468163E-2</v>
      </c>
      <c r="BE29" s="28">
        <f t="shared" si="21"/>
        <v>0.17762474012474014</v>
      </c>
      <c r="BF29" s="28">
        <f t="shared" si="22"/>
        <v>8.3829037232870676E-2</v>
      </c>
      <c r="BG29" s="28">
        <f t="shared" si="23"/>
        <v>3.4120734908136482E-2</v>
      </c>
      <c r="BH29" s="28"/>
      <c r="BK29" s="19" t="s">
        <v>84</v>
      </c>
      <c r="BL29" s="2">
        <v>63</v>
      </c>
      <c r="BM29" s="2">
        <v>76</v>
      </c>
      <c r="BN29" s="2">
        <v>86</v>
      </c>
      <c r="BO29" s="2">
        <v>30</v>
      </c>
      <c r="BP29" s="2">
        <v>72</v>
      </c>
      <c r="BQ29" s="2">
        <v>115</v>
      </c>
      <c r="BR29" s="2">
        <v>60</v>
      </c>
      <c r="BS29" s="2">
        <v>94</v>
      </c>
      <c r="BT29" s="2">
        <v>59</v>
      </c>
      <c r="BU29" s="2">
        <v>65</v>
      </c>
      <c r="BV29" s="2">
        <v>84</v>
      </c>
      <c r="BW29" s="2">
        <v>78</v>
      </c>
      <c r="BX29" s="2">
        <v>61</v>
      </c>
    </row>
    <row r="30" spans="1:76" x14ac:dyDescent="0.35">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0" t="s">
        <v>49</v>
      </c>
      <c r="AZ30" s="28">
        <f t="shared" si="16"/>
        <v>6.989643672108127E-2</v>
      </c>
      <c r="BA30" s="28">
        <f t="shared" si="17"/>
        <v>3.2941002294766451E-2</v>
      </c>
      <c r="BB30" s="28">
        <f t="shared" si="18"/>
        <v>9.8872920269545E-2</v>
      </c>
      <c r="BC30" s="28">
        <f t="shared" si="19"/>
        <v>4.4420368364030335E-2</v>
      </c>
      <c r="BD30" s="28">
        <f t="shared" si="20"/>
        <v>2.2638680659670164E-2</v>
      </c>
      <c r="BE30" s="28">
        <f t="shared" si="21"/>
        <v>0.18704585316963168</v>
      </c>
      <c r="BF30" s="28">
        <f t="shared" si="22"/>
        <v>0.108975758899323</v>
      </c>
      <c r="BG30" s="28">
        <f t="shared" si="23"/>
        <v>4.2572797640987835E-2</v>
      </c>
      <c r="BH30" s="28"/>
      <c r="BK30" s="19" t="s">
        <v>85</v>
      </c>
      <c r="BL30" s="2">
        <v>5</v>
      </c>
      <c r="BM30" s="2">
        <v>2</v>
      </c>
      <c r="BN30" s="2">
        <v>0</v>
      </c>
      <c r="BO30" s="2">
        <v>0</v>
      </c>
      <c r="BP30" s="2">
        <v>8</v>
      </c>
      <c r="BQ30" s="2">
        <v>4</v>
      </c>
      <c r="BR30" s="2">
        <v>3</v>
      </c>
      <c r="BS30" s="2">
        <v>2</v>
      </c>
      <c r="BT30" s="2">
        <v>9</v>
      </c>
      <c r="BU30" s="2">
        <v>22</v>
      </c>
      <c r="BV30" s="2">
        <v>6</v>
      </c>
      <c r="BW30" s="2">
        <v>8</v>
      </c>
      <c r="BX30" s="2">
        <v>12</v>
      </c>
    </row>
    <row r="31" spans="1:76" x14ac:dyDescent="0.35">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0" t="s">
        <v>50</v>
      </c>
      <c r="AZ31" s="28">
        <f t="shared" si="16"/>
        <v>8.3751976928086336E-2</v>
      </c>
      <c r="BA31" s="28">
        <f t="shared" si="17"/>
        <v>4.810126582278481E-2</v>
      </c>
      <c r="BB31" s="28">
        <f t="shared" si="18"/>
        <v>0.11405234603231383</v>
      </c>
      <c r="BC31" s="28">
        <f t="shared" si="19"/>
        <v>5.8379360973222404E-2</v>
      </c>
      <c r="BD31" s="28">
        <f t="shared" si="20"/>
        <v>2.9630732578916023E-2</v>
      </c>
      <c r="BE31" s="28">
        <f t="shared" si="21"/>
        <v>0.21291172595520422</v>
      </c>
      <c r="BF31" s="28">
        <f t="shared" si="22"/>
        <v>0.13672442705422022</v>
      </c>
      <c r="BG31" s="28">
        <f t="shared" si="23"/>
        <v>4.9622437971952538E-2</v>
      </c>
      <c r="BH31" s="28"/>
      <c r="BK31" s="19" t="s">
        <v>86</v>
      </c>
      <c r="BL31" s="2">
        <v>29</v>
      </c>
      <c r="BM31" s="2">
        <v>24</v>
      </c>
      <c r="BN31" s="2">
        <v>43</v>
      </c>
      <c r="BO31" s="2">
        <v>17</v>
      </c>
      <c r="BP31" s="2">
        <v>23</v>
      </c>
      <c r="BQ31" s="2">
        <v>67</v>
      </c>
      <c r="BR31" s="2">
        <v>22</v>
      </c>
      <c r="BS31" s="2">
        <v>6</v>
      </c>
      <c r="BT31" s="2">
        <v>2</v>
      </c>
      <c r="BU31" s="2">
        <v>5</v>
      </c>
      <c r="BV31" s="2">
        <v>4</v>
      </c>
      <c r="BW31" s="2">
        <v>13</v>
      </c>
      <c r="BX31" s="2">
        <v>10</v>
      </c>
    </row>
    <row r="32" spans="1:76" x14ac:dyDescent="0.35">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0" t="s">
        <v>51</v>
      </c>
      <c r="AZ32" s="28">
        <f t="shared" si="16"/>
        <v>9.0846014535362327E-2</v>
      </c>
      <c r="BA32" s="28">
        <f t="shared" si="17"/>
        <v>5.0458715596330278E-2</v>
      </c>
      <c r="BB32" s="28">
        <f t="shared" si="18"/>
        <v>0.1328143570240076</v>
      </c>
      <c r="BC32" s="28">
        <f t="shared" si="19"/>
        <v>6.450475854776172E-2</v>
      </c>
      <c r="BD32" s="28">
        <f t="shared" si="20"/>
        <v>3.3630069238377844E-2</v>
      </c>
      <c r="BE32" s="28">
        <f t="shared" si="21"/>
        <v>0.24100868127325342</v>
      </c>
      <c r="BF32" s="28">
        <f t="shared" si="22"/>
        <v>0.12744656917885264</v>
      </c>
      <c r="BG32" s="28">
        <f t="shared" si="23"/>
        <v>5.0735621934908604E-2</v>
      </c>
      <c r="BH32" s="28"/>
      <c r="BK32" s="19" t="s">
        <v>87</v>
      </c>
      <c r="BL32" s="2">
        <v>2</v>
      </c>
      <c r="BM32" s="2">
        <v>2</v>
      </c>
      <c r="BN32" s="2">
        <v>3</v>
      </c>
      <c r="BO32" s="2">
        <v>3</v>
      </c>
      <c r="BP32" s="2">
        <v>0</v>
      </c>
      <c r="BQ32" s="2">
        <v>2</v>
      </c>
      <c r="BR32" s="2">
        <v>2</v>
      </c>
      <c r="BS32" s="2">
        <v>7</v>
      </c>
      <c r="BT32" s="2">
        <v>1</v>
      </c>
      <c r="BU32" s="2">
        <v>2</v>
      </c>
      <c r="BV32" s="2">
        <v>3</v>
      </c>
      <c r="BW32" s="2">
        <v>1</v>
      </c>
      <c r="BX32" s="2">
        <v>2</v>
      </c>
    </row>
    <row r="33" spans="23:76" x14ac:dyDescent="0.35">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0" t="s">
        <v>52</v>
      </c>
      <c r="AZ33" s="28">
        <f t="shared" si="16"/>
        <v>8.0173563191504288E-2</v>
      </c>
      <c r="BA33" s="28">
        <f t="shared" si="17"/>
        <v>4.5352492141894928E-2</v>
      </c>
      <c r="BB33" s="28">
        <f t="shared" si="18"/>
        <v>0.1053339571879752</v>
      </c>
      <c r="BC33" s="28">
        <f t="shared" si="19"/>
        <v>4.7861934041363893E-2</v>
      </c>
      <c r="BD33" s="28">
        <f t="shared" si="20"/>
        <v>3.8350546780072901E-2</v>
      </c>
      <c r="BE33" s="28">
        <f t="shared" si="21"/>
        <v>0.21828632535757253</v>
      </c>
      <c r="BF33" s="28">
        <f t="shared" si="22"/>
        <v>0.12293886707795849</v>
      </c>
      <c r="BG33" s="28">
        <f t="shared" si="23"/>
        <v>4.7375962744044424E-2</v>
      </c>
      <c r="BH33" s="28"/>
      <c r="BK33" s="19" t="s">
        <v>254</v>
      </c>
      <c r="BL33" s="2">
        <v>94</v>
      </c>
      <c r="BM33" s="2">
        <v>92</v>
      </c>
      <c r="BN33" s="2">
        <v>82</v>
      </c>
      <c r="BO33" s="2">
        <v>21</v>
      </c>
      <c r="BP33" s="2">
        <v>155</v>
      </c>
      <c r="BQ33" s="2">
        <v>94</v>
      </c>
      <c r="BR33" s="2">
        <v>82</v>
      </c>
      <c r="BS33" s="2">
        <v>92</v>
      </c>
      <c r="BT33" s="2">
        <v>61</v>
      </c>
      <c r="BU33" s="2">
        <v>92</v>
      </c>
      <c r="BV33" s="2">
        <v>69</v>
      </c>
      <c r="BW33" s="2">
        <v>60</v>
      </c>
      <c r="BX33" s="2">
        <v>87</v>
      </c>
    </row>
    <row r="34" spans="23:76" x14ac:dyDescent="0.35">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0" t="s">
        <v>53</v>
      </c>
      <c r="AZ34" s="28">
        <f t="shared" si="16"/>
        <v>8.5037954927046133E-2</v>
      </c>
      <c r="BA34" s="28">
        <f t="shared" si="17"/>
        <v>2.9579857893110906E-2</v>
      </c>
      <c r="BB34" s="28">
        <f t="shared" si="18"/>
        <v>0.11303010587330692</v>
      </c>
      <c r="BC34" s="28">
        <f t="shared" si="19"/>
        <v>7.2027627035027131E-2</v>
      </c>
      <c r="BD34" s="28">
        <f t="shared" si="20"/>
        <v>3.1506746061656744E-2</v>
      </c>
      <c r="BE34" s="28">
        <f t="shared" si="21"/>
        <v>0.24193548387096775</v>
      </c>
      <c r="BF34" s="28">
        <f t="shared" si="22"/>
        <v>0.13147410358565736</v>
      </c>
      <c r="BG34" s="28">
        <f t="shared" si="23"/>
        <v>4.9884813042707782E-2</v>
      </c>
      <c r="BH34" s="28"/>
      <c r="BK34" s="19" t="s">
        <v>88</v>
      </c>
      <c r="BL34" s="2">
        <v>9</v>
      </c>
      <c r="BM34" s="2">
        <v>21</v>
      </c>
      <c r="BN34" s="2">
        <v>16</v>
      </c>
      <c r="BO34" s="2">
        <v>1</v>
      </c>
      <c r="BP34" s="2">
        <v>10</v>
      </c>
      <c r="BQ34" s="2">
        <v>8</v>
      </c>
      <c r="BR34" s="2">
        <v>4</v>
      </c>
      <c r="BS34" s="2">
        <v>4</v>
      </c>
      <c r="BT34" s="2">
        <v>0</v>
      </c>
      <c r="BU34" s="2">
        <v>5</v>
      </c>
      <c r="BV34" s="2">
        <v>22</v>
      </c>
      <c r="BW34" s="2">
        <v>23</v>
      </c>
      <c r="BX34" s="2">
        <v>19</v>
      </c>
    </row>
    <row r="35" spans="23:76" x14ac:dyDescent="0.35">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0" t="s">
        <v>54</v>
      </c>
      <c r="AZ35" s="28">
        <f t="shared" si="16"/>
        <v>8.7448801845487506E-2</v>
      </c>
      <c r="BA35" s="28">
        <f t="shared" si="17"/>
        <v>4.606965909931228E-2</v>
      </c>
      <c r="BB35" s="28">
        <f t="shared" si="18"/>
        <v>0.10871892470560247</v>
      </c>
      <c r="BC35" s="28">
        <f t="shared" si="19"/>
        <v>6.6983946583321491E-2</v>
      </c>
      <c r="BD35" s="28">
        <f t="shared" si="20"/>
        <v>3.879178166206685E-2</v>
      </c>
      <c r="BE35" s="28">
        <f t="shared" si="21"/>
        <v>0.23440949227373067</v>
      </c>
      <c r="BF35" s="28">
        <f t="shared" si="22"/>
        <v>0.13652067313050262</v>
      </c>
      <c r="BG35" s="28">
        <f t="shared" si="23"/>
        <v>5.370436015597306E-2</v>
      </c>
      <c r="BH35" s="28"/>
      <c r="BK35" s="19" t="s">
        <v>89</v>
      </c>
      <c r="BL35" s="2">
        <v>47</v>
      </c>
      <c r="BM35" s="2">
        <v>28</v>
      </c>
      <c r="BN35" s="2">
        <v>27</v>
      </c>
      <c r="BO35" s="2">
        <v>5</v>
      </c>
      <c r="BP35" s="2">
        <v>22</v>
      </c>
      <c r="BQ35" s="2">
        <v>35</v>
      </c>
      <c r="BR35" s="2">
        <v>14</v>
      </c>
      <c r="BS35" s="2">
        <v>2</v>
      </c>
      <c r="BT35" s="2">
        <v>20</v>
      </c>
      <c r="BU35" s="2">
        <v>21</v>
      </c>
      <c r="BV35" s="2">
        <v>22</v>
      </c>
      <c r="BW35" s="2">
        <v>13</v>
      </c>
      <c r="BX35" s="2">
        <v>31</v>
      </c>
    </row>
    <row r="36" spans="23:76" x14ac:dyDescent="0.35">
      <c r="AY36" s="20"/>
      <c r="AZ36" s="28"/>
      <c r="BA36" s="28"/>
      <c r="BB36" s="28"/>
      <c r="BC36" s="28"/>
      <c r="BD36" s="28"/>
      <c r="BE36" s="28"/>
      <c r="BF36" s="28"/>
      <c r="BG36" s="28"/>
      <c r="BH36" s="28"/>
      <c r="BK36" s="19" t="s">
        <v>90</v>
      </c>
      <c r="BL36" s="2">
        <v>11</v>
      </c>
      <c r="BM36" s="2">
        <v>10</v>
      </c>
      <c r="BN36" s="2">
        <v>8</v>
      </c>
      <c r="BO36" s="2">
        <v>1</v>
      </c>
      <c r="BP36" s="2">
        <v>2</v>
      </c>
      <c r="BQ36" s="2">
        <v>0</v>
      </c>
      <c r="BR36" s="2">
        <v>0</v>
      </c>
      <c r="BS36" s="2">
        <v>8</v>
      </c>
      <c r="BT36" s="2">
        <v>8</v>
      </c>
      <c r="BU36" s="2">
        <v>21</v>
      </c>
      <c r="BV36" s="2">
        <v>16</v>
      </c>
      <c r="BW36" s="2">
        <v>5</v>
      </c>
      <c r="BX36" s="2">
        <v>8</v>
      </c>
    </row>
    <row r="37" spans="23:76" x14ac:dyDescent="0.35">
      <c r="BG37" s="28"/>
      <c r="BK37" s="19" t="s">
        <v>91</v>
      </c>
      <c r="BL37" s="2">
        <v>5</v>
      </c>
      <c r="BM37" s="2">
        <v>3</v>
      </c>
      <c r="BN37" s="2">
        <v>0</v>
      </c>
      <c r="BO37" s="2">
        <v>4</v>
      </c>
      <c r="BP37" s="2">
        <v>22</v>
      </c>
      <c r="BQ37" s="2">
        <v>9</v>
      </c>
      <c r="BR37" s="2">
        <v>8</v>
      </c>
      <c r="BS37" s="2">
        <v>6</v>
      </c>
      <c r="BT37" s="2">
        <v>2</v>
      </c>
      <c r="BU37" s="2">
        <v>8</v>
      </c>
      <c r="BV37" s="2">
        <v>0</v>
      </c>
      <c r="BW37" s="2">
        <v>1</v>
      </c>
      <c r="BX37" s="2">
        <v>2</v>
      </c>
    </row>
    <row r="38" spans="23:76" x14ac:dyDescent="0.35">
      <c r="BK38" s="19" t="s">
        <v>92</v>
      </c>
      <c r="BL38" s="2">
        <v>0</v>
      </c>
      <c r="BM38" s="2">
        <v>16</v>
      </c>
      <c r="BN38" s="2">
        <v>12</v>
      </c>
      <c r="BO38" s="2">
        <v>1</v>
      </c>
      <c r="BP38" s="2">
        <v>8</v>
      </c>
      <c r="BQ38" s="2">
        <v>9</v>
      </c>
      <c r="BR38" s="2">
        <v>4</v>
      </c>
      <c r="BS38" s="2">
        <v>2</v>
      </c>
      <c r="BT38" s="2">
        <v>5</v>
      </c>
      <c r="BU38" s="2">
        <v>9</v>
      </c>
      <c r="BV38" s="2">
        <v>6</v>
      </c>
      <c r="BW38" s="2">
        <v>0</v>
      </c>
      <c r="BX38" s="2">
        <v>2</v>
      </c>
    </row>
    <row r="39" spans="23:76" x14ac:dyDescent="0.35">
      <c r="BK39" s="19" t="s">
        <v>93</v>
      </c>
      <c r="BL39" s="2">
        <v>292</v>
      </c>
      <c r="BM39" s="2">
        <v>282</v>
      </c>
      <c r="BN39" s="2">
        <v>206</v>
      </c>
      <c r="BO39" s="2">
        <v>161</v>
      </c>
      <c r="BP39" s="2">
        <v>323</v>
      </c>
      <c r="BQ39" s="2">
        <v>212</v>
      </c>
      <c r="BR39" s="2">
        <v>221</v>
      </c>
      <c r="BS39" s="2">
        <v>238</v>
      </c>
      <c r="BT39" s="2">
        <v>311</v>
      </c>
      <c r="BU39" s="2">
        <v>289</v>
      </c>
      <c r="BV39" s="2">
        <v>282</v>
      </c>
      <c r="BW39" s="2">
        <v>291</v>
      </c>
      <c r="BX39" s="2">
        <v>265</v>
      </c>
    </row>
    <row r="40" spans="23:76" x14ac:dyDescent="0.35">
      <c r="BK40" s="19" t="s">
        <v>94</v>
      </c>
      <c r="BL40" s="2">
        <v>89</v>
      </c>
      <c r="BM40" s="2">
        <v>113</v>
      </c>
      <c r="BN40" s="2">
        <v>43</v>
      </c>
      <c r="BO40" s="2">
        <v>8</v>
      </c>
      <c r="BP40" s="2">
        <v>80</v>
      </c>
      <c r="BQ40" s="2">
        <v>79</v>
      </c>
      <c r="BR40" s="2">
        <v>26</v>
      </c>
      <c r="BS40" s="2">
        <v>99</v>
      </c>
      <c r="BT40" s="2">
        <v>79</v>
      </c>
      <c r="BU40" s="2">
        <v>135</v>
      </c>
      <c r="BV40" s="2">
        <v>106</v>
      </c>
      <c r="BW40" s="2">
        <v>151</v>
      </c>
      <c r="BX40" s="2">
        <v>141</v>
      </c>
    </row>
    <row r="41" spans="23:76" x14ac:dyDescent="0.35">
      <c r="BK41" s="19" t="s">
        <v>95</v>
      </c>
      <c r="BL41" s="2">
        <v>3</v>
      </c>
      <c r="BM41" s="2">
        <v>12</v>
      </c>
      <c r="BN41" s="2">
        <v>6</v>
      </c>
      <c r="BO41" s="2">
        <v>0</v>
      </c>
      <c r="BP41" s="2">
        <v>10</v>
      </c>
      <c r="BQ41" s="2">
        <v>6</v>
      </c>
      <c r="BR41" s="2">
        <v>0</v>
      </c>
      <c r="BS41" s="2">
        <v>0</v>
      </c>
      <c r="BT41" s="2">
        <v>5</v>
      </c>
      <c r="BU41" s="2">
        <v>1</v>
      </c>
      <c r="BV41" s="2">
        <v>11</v>
      </c>
      <c r="BW41" s="2">
        <v>3</v>
      </c>
      <c r="BX41" s="2">
        <v>7</v>
      </c>
    </row>
    <row r="42" spans="23:76" x14ac:dyDescent="0.35">
      <c r="BK42" s="19" t="s">
        <v>96</v>
      </c>
      <c r="BL42" s="2">
        <v>80</v>
      </c>
      <c r="BM42" s="2">
        <v>31</v>
      </c>
      <c r="BN42" s="2">
        <v>31</v>
      </c>
      <c r="BO42" s="2">
        <v>6</v>
      </c>
      <c r="BP42" s="2">
        <v>25</v>
      </c>
      <c r="BQ42" s="2">
        <v>22</v>
      </c>
      <c r="BR42" s="2">
        <v>27</v>
      </c>
      <c r="BS42" s="2">
        <v>32</v>
      </c>
      <c r="BT42" s="2">
        <v>27</v>
      </c>
      <c r="BU42" s="2">
        <v>23</v>
      </c>
      <c r="BV42" s="2">
        <v>52</v>
      </c>
      <c r="BW42" s="2">
        <v>50</v>
      </c>
      <c r="BX42" s="2">
        <v>24</v>
      </c>
    </row>
    <row r="43" spans="23:76" x14ac:dyDescent="0.35">
      <c r="BK43" s="19" t="s">
        <v>97</v>
      </c>
      <c r="BL43" s="2">
        <v>1</v>
      </c>
      <c r="BM43" s="2">
        <v>0</v>
      </c>
      <c r="BN43" s="2">
        <v>0</v>
      </c>
      <c r="BO43" s="2">
        <v>1</v>
      </c>
      <c r="BP43" s="2">
        <v>1</v>
      </c>
      <c r="BQ43" s="2">
        <v>1</v>
      </c>
      <c r="BR43" s="2">
        <v>1</v>
      </c>
      <c r="BS43" s="2">
        <v>0</v>
      </c>
      <c r="BT43" s="2">
        <v>0</v>
      </c>
      <c r="BU43" s="2">
        <v>0</v>
      </c>
      <c r="BV43" s="2">
        <v>0</v>
      </c>
      <c r="BW43" s="2">
        <v>1</v>
      </c>
      <c r="BX43" s="2">
        <v>1</v>
      </c>
    </row>
    <row r="44" spans="23:76" x14ac:dyDescent="0.35">
      <c r="BK44" s="19" t="s">
        <v>98</v>
      </c>
      <c r="BL44" s="2">
        <v>0</v>
      </c>
      <c r="BM44" s="2">
        <v>0</v>
      </c>
      <c r="BN44" s="2">
        <v>0</v>
      </c>
      <c r="BO44" s="2">
        <v>0</v>
      </c>
      <c r="BP44" s="2">
        <v>0</v>
      </c>
      <c r="BQ44" s="2">
        <v>0</v>
      </c>
      <c r="BR44" s="2">
        <v>0</v>
      </c>
      <c r="BS44" s="2">
        <v>0</v>
      </c>
      <c r="BT44" s="2">
        <v>0</v>
      </c>
      <c r="BU44" s="2">
        <v>0</v>
      </c>
      <c r="BV44" s="2">
        <v>0</v>
      </c>
      <c r="BW44" s="2">
        <v>0</v>
      </c>
      <c r="BX44" s="2">
        <v>0</v>
      </c>
    </row>
    <row r="45" spans="23:76" x14ac:dyDescent="0.35">
      <c r="BK45" s="19" t="s">
        <v>255</v>
      </c>
      <c r="BL45" s="2">
        <v>178</v>
      </c>
      <c r="BM45" s="2">
        <v>83</v>
      </c>
      <c r="BN45" s="2">
        <v>38</v>
      </c>
      <c r="BO45" s="2">
        <v>11</v>
      </c>
      <c r="BP45" s="2">
        <v>122</v>
      </c>
      <c r="BQ45" s="2">
        <v>91</v>
      </c>
      <c r="BR45" s="2">
        <v>31</v>
      </c>
      <c r="BS45" s="2">
        <v>77</v>
      </c>
      <c r="BT45" s="2">
        <v>90</v>
      </c>
      <c r="BU45" s="2">
        <v>73</v>
      </c>
      <c r="BV45" s="2">
        <v>90</v>
      </c>
      <c r="BW45" s="2">
        <v>144</v>
      </c>
      <c r="BX45" s="2">
        <v>170</v>
      </c>
    </row>
    <row r="46" spans="23:76" x14ac:dyDescent="0.35">
      <c r="BK46" s="19" t="s">
        <v>99</v>
      </c>
      <c r="BL46" s="2">
        <v>4</v>
      </c>
      <c r="BM46" s="2">
        <v>15</v>
      </c>
      <c r="BN46" s="2">
        <v>4</v>
      </c>
      <c r="BO46" s="2">
        <v>5</v>
      </c>
      <c r="BP46" s="2">
        <v>12</v>
      </c>
      <c r="BQ46" s="2">
        <v>10</v>
      </c>
      <c r="BR46" s="2">
        <v>1</v>
      </c>
      <c r="BS46" s="2">
        <v>2</v>
      </c>
      <c r="BT46" s="2">
        <v>1</v>
      </c>
      <c r="BU46" s="2">
        <v>20</v>
      </c>
      <c r="BV46" s="2">
        <v>0</v>
      </c>
      <c r="BW46" s="2">
        <v>0</v>
      </c>
      <c r="BX46" s="2">
        <v>0</v>
      </c>
    </row>
    <row r="47" spans="23:76" x14ac:dyDescent="0.35">
      <c r="BK47" s="19" t="s">
        <v>100</v>
      </c>
      <c r="BL47" s="2">
        <v>0</v>
      </c>
      <c r="BM47" s="2">
        <v>0</v>
      </c>
      <c r="BN47" s="2">
        <v>1</v>
      </c>
      <c r="BO47" s="2">
        <v>0</v>
      </c>
      <c r="BP47" s="2">
        <v>1</v>
      </c>
      <c r="BQ47" s="2">
        <v>0</v>
      </c>
      <c r="BR47" s="2">
        <v>0</v>
      </c>
      <c r="BS47" s="2">
        <v>0</v>
      </c>
      <c r="BT47" s="2">
        <v>0</v>
      </c>
      <c r="BU47" s="2">
        <v>0</v>
      </c>
      <c r="BV47" s="2">
        <v>0</v>
      </c>
      <c r="BW47" s="2">
        <v>0</v>
      </c>
      <c r="BX47" s="2">
        <v>0</v>
      </c>
    </row>
    <row r="48" spans="23:76" x14ac:dyDescent="0.35">
      <c r="BK48" s="19" t="s">
        <v>101</v>
      </c>
      <c r="BL48" s="2">
        <v>74</v>
      </c>
      <c r="BM48" s="2">
        <v>80</v>
      </c>
      <c r="BN48" s="2">
        <v>40</v>
      </c>
      <c r="BO48" s="2">
        <v>40</v>
      </c>
      <c r="BP48" s="2">
        <v>105</v>
      </c>
      <c r="BQ48" s="2">
        <v>65</v>
      </c>
      <c r="BR48" s="2">
        <v>60</v>
      </c>
      <c r="BS48" s="2">
        <v>40</v>
      </c>
      <c r="BT48" s="2">
        <v>53</v>
      </c>
      <c r="BU48" s="2">
        <v>74</v>
      </c>
      <c r="BV48" s="2">
        <v>85</v>
      </c>
      <c r="BW48" s="2">
        <v>92</v>
      </c>
      <c r="BX48" s="2">
        <v>87</v>
      </c>
    </row>
    <row r="49" spans="63:76" x14ac:dyDescent="0.35">
      <c r="BK49" s="19" t="s">
        <v>102</v>
      </c>
      <c r="BL49" s="2">
        <v>15</v>
      </c>
      <c r="BM49" s="2">
        <v>27</v>
      </c>
      <c r="BN49" s="2">
        <v>10</v>
      </c>
      <c r="BO49" s="2">
        <v>0</v>
      </c>
      <c r="BP49" s="2">
        <v>1</v>
      </c>
      <c r="BQ49" s="2">
        <v>0</v>
      </c>
      <c r="BR49" s="2">
        <v>0</v>
      </c>
      <c r="BS49" s="2">
        <v>1</v>
      </c>
      <c r="BT49" s="2">
        <v>1</v>
      </c>
      <c r="BU49" s="2">
        <v>24</v>
      </c>
      <c r="BV49" s="2">
        <v>0</v>
      </c>
      <c r="BW49" s="2">
        <v>0</v>
      </c>
      <c r="BX49" s="2">
        <v>0</v>
      </c>
    </row>
    <row r="50" spans="63:76" x14ac:dyDescent="0.35">
      <c r="BK50" s="19" t="s">
        <v>103</v>
      </c>
      <c r="BL50" s="2">
        <v>81</v>
      </c>
      <c r="BM50" s="2">
        <v>63</v>
      </c>
      <c r="BN50" s="2">
        <v>45</v>
      </c>
      <c r="BO50" s="2">
        <v>31</v>
      </c>
      <c r="BP50" s="2">
        <v>73</v>
      </c>
      <c r="BQ50" s="2">
        <v>58</v>
      </c>
      <c r="BR50" s="2">
        <v>48</v>
      </c>
      <c r="BS50" s="2">
        <v>40</v>
      </c>
      <c r="BT50" s="2">
        <v>28</v>
      </c>
      <c r="BU50" s="2">
        <v>49</v>
      </c>
      <c r="BV50" s="2">
        <v>18</v>
      </c>
      <c r="BW50" s="2">
        <v>27</v>
      </c>
      <c r="BX50" s="2">
        <v>35</v>
      </c>
    </row>
    <row r="51" spans="63:76" x14ac:dyDescent="0.35">
      <c r="BK51" s="19" t="s">
        <v>104</v>
      </c>
      <c r="BL51" s="2">
        <v>12</v>
      </c>
      <c r="BM51" s="2">
        <v>17</v>
      </c>
      <c r="BN51" s="2">
        <v>10</v>
      </c>
      <c r="BO51" s="2">
        <v>0</v>
      </c>
      <c r="BP51" s="2">
        <v>3</v>
      </c>
      <c r="BQ51" s="2">
        <v>36</v>
      </c>
      <c r="BR51" s="2">
        <v>31</v>
      </c>
      <c r="BS51" s="2">
        <v>4</v>
      </c>
      <c r="BT51" s="2">
        <v>27</v>
      </c>
      <c r="BU51" s="2">
        <v>19</v>
      </c>
      <c r="BV51" s="2">
        <v>6</v>
      </c>
      <c r="BW51" s="2">
        <v>5</v>
      </c>
      <c r="BX51" s="2">
        <v>0</v>
      </c>
    </row>
    <row r="52" spans="63:76" x14ac:dyDescent="0.35">
      <c r="BK52" s="19" t="s">
        <v>105</v>
      </c>
      <c r="BL52" s="2">
        <v>22</v>
      </c>
      <c r="BM52" s="2">
        <v>84</v>
      </c>
      <c r="BN52" s="2">
        <v>41</v>
      </c>
      <c r="BO52" s="2">
        <v>36</v>
      </c>
      <c r="BP52" s="2">
        <v>106</v>
      </c>
      <c r="BQ52" s="2">
        <v>39</v>
      </c>
      <c r="BR52" s="2">
        <v>38</v>
      </c>
      <c r="BS52" s="2">
        <v>36</v>
      </c>
      <c r="BT52" s="2">
        <v>50</v>
      </c>
      <c r="BU52" s="2">
        <v>49</v>
      </c>
      <c r="BV52" s="2">
        <v>37</v>
      </c>
      <c r="BW52" s="2">
        <v>45</v>
      </c>
      <c r="BX52" s="2">
        <v>73</v>
      </c>
    </row>
    <row r="53" spans="63:76" x14ac:dyDescent="0.35">
      <c r="BK53" s="19" t="s">
        <v>106</v>
      </c>
      <c r="BL53" s="2">
        <v>2</v>
      </c>
      <c r="BM53" s="2">
        <v>5</v>
      </c>
      <c r="BN53" s="2">
        <v>2</v>
      </c>
      <c r="BO53" s="2">
        <v>1</v>
      </c>
      <c r="BP53" s="2">
        <v>3</v>
      </c>
      <c r="BQ53" s="2">
        <v>4</v>
      </c>
      <c r="BR53" s="2">
        <v>1</v>
      </c>
      <c r="BS53" s="2">
        <v>4</v>
      </c>
      <c r="BT53" s="2">
        <v>1</v>
      </c>
      <c r="BU53" s="2">
        <v>1</v>
      </c>
      <c r="BV53" s="2">
        <v>1</v>
      </c>
      <c r="BW53" s="2">
        <v>2</v>
      </c>
      <c r="BX53" s="2">
        <v>1</v>
      </c>
    </row>
    <row r="54" spans="63:76" x14ac:dyDescent="0.35">
      <c r="BK54" s="19" t="s">
        <v>107</v>
      </c>
      <c r="BL54" s="2">
        <v>36</v>
      </c>
      <c r="BM54" s="2">
        <v>43</v>
      </c>
      <c r="BN54" s="2">
        <v>44</v>
      </c>
      <c r="BO54" s="2">
        <v>34</v>
      </c>
      <c r="BP54" s="2">
        <v>50</v>
      </c>
      <c r="BQ54" s="2">
        <v>46</v>
      </c>
      <c r="BR54" s="2">
        <v>31</v>
      </c>
      <c r="BS54" s="2">
        <v>33</v>
      </c>
      <c r="BT54" s="2">
        <v>37</v>
      </c>
      <c r="BU54" s="2">
        <v>33</v>
      </c>
      <c r="BV54" s="2">
        <v>17</v>
      </c>
      <c r="BW54" s="2">
        <v>23</v>
      </c>
      <c r="BX54" s="2">
        <v>22</v>
      </c>
    </row>
    <row r="55" spans="63:76" x14ac:dyDescent="0.35">
      <c r="BK55" s="19" t="s">
        <v>256</v>
      </c>
      <c r="BL55" s="2">
        <v>58</v>
      </c>
      <c r="BM55" s="2">
        <v>71</v>
      </c>
      <c r="BN55" s="2">
        <v>89</v>
      </c>
      <c r="BO55" s="2">
        <v>26</v>
      </c>
      <c r="BP55" s="2">
        <v>57</v>
      </c>
      <c r="BQ55" s="2">
        <v>42</v>
      </c>
      <c r="BR55" s="2">
        <v>13</v>
      </c>
      <c r="BS55" s="2">
        <v>40</v>
      </c>
      <c r="BT55" s="2">
        <v>30</v>
      </c>
      <c r="BU55" s="2">
        <v>25</v>
      </c>
      <c r="BV55" s="2">
        <v>40</v>
      </c>
      <c r="BW55" s="2">
        <v>64</v>
      </c>
      <c r="BX55" s="2">
        <v>55</v>
      </c>
    </row>
    <row r="56" spans="63:76" x14ac:dyDescent="0.35">
      <c r="BK56" s="19" t="s">
        <v>215</v>
      </c>
      <c r="BL56" s="2">
        <v>115</v>
      </c>
      <c r="BM56" s="2">
        <v>151</v>
      </c>
      <c r="BN56" s="2">
        <v>44</v>
      </c>
      <c r="BO56" s="2">
        <v>7</v>
      </c>
      <c r="BP56" s="2">
        <v>77</v>
      </c>
      <c r="BQ56" s="2">
        <v>125</v>
      </c>
      <c r="BR56" s="2">
        <v>56</v>
      </c>
      <c r="BS56" s="2">
        <v>36</v>
      </c>
      <c r="BT56" s="2">
        <v>48</v>
      </c>
      <c r="BU56" s="2">
        <v>67</v>
      </c>
      <c r="BV56" s="2">
        <v>56</v>
      </c>
      <c r="BW56" s="2">
        <v>37</v>
      </c>
      <c r="BX56" s="2">
        <v>103</v>
      </c>
    </row>
    <row r="57" spans="63:76" x14ac:dyDescent="0.35">
      <c r="BK57" s="19" t="s">
        <v>108</v>
      </c>
      <c r="BL57" s="2">
        <v>20</v>
      </c>
      <c r="BM57" s="2">
        <v>23</v>
      </c>
      <c r="BN57" s="2">
        <v>2</v>
      </c>
      <c r="BO57" s="2">
        <v>2</v>
      </c>
      <c r="BP57" s="2">
        <v>9</v>
      </c>
      <c r="BQ57" s="2">
        <v>2</v>
      </c>
      <c r="BR57" s="2">
        <v>0</v>
      </c>
      <c r="BS57" s="2">
        <v>3</v>
      </c>
      <c r="BT57" s="2">
        <v>3</v>
      </c>
      <c r="BU57" s="2">
        <v>4</v>
      </c>
      <c r="BV57" s="2">
        <v>4</v>
      </c>
      <c r="BW57" s="2">
        <v>2</v>
      </c>
      <c r="BX57" s="2">
        <v>10</v>
      </c>
    </row>
    <row r="58" spans="63:76" x14ac:dyDescent="0.35">
      <c r="BK58" s="19" t="s">
        <v>109</v>
      </c>
      <c r="BL58" s="2">
        <v>47</v>
      </c>
      <c r="BM58" s="2">
        <v>45</v>
      </c>
      <c r="BN58" s="2">
        <v>87</v>
      </c>
      <c r="BO58" s="2">
        <v>61</v>
      </c>
      <c r="BP58" s="2">
        <v>111</v>
      </c>
      <c r="BQ58" s="2">
        <v>152</v>
      </c>
      <c r="BR58" s="2">
        <v>68</v>
      </c>
      <c r="BS58" s="2">
        <v>52</v>
      </c>
      <c r="BT58" s="2">
        <v>51</v>
      </c>
      <c r="BU58" s="2">
        <v>85</v>
      </c>
      <c r="BV58" s="2">
        <v>48</v>
      </c>
      <c r="BW58" s="2">
        <v>84</v>
      </c>
      <c r="BX58" s="2">
        <v>118</v>
      </c>
    </row>
    <row r="59" spans="63:76" x14ac:dyDescent="0.35">
      <c r="BK59" s="19" t="s">
        <v>110</v>
      </c>
      <c r="BL59" s="2">
        <v>73</v>
      </c>
      <c r="BM59" s="2">
        <v>87</v>
      </c>
      <c r="BN59" s="2">
        <v>29</v>
      </c>
      <c r="BO59" s="2">
        <v>6</v>
      </c>
      <c r="BP59" s="2">
        <v>136</v>
      </c>
      <c r="BQ59" s="2">
        <v>84</v>
      </c>
      <c r="BR59" s="2">
        <v>5</v>
      </c>
      <c r="BS59" s="2">
        <v>6</v>
      </c>
      <c r="BT59" s="2">
        <v>9</v>
      </c>
      <c r="BU59" s="2">
        <v>6</v>
      </c>
      <c r="BV59" s="2">
        <v>13</v>
      </c>
      <c r="BW59" s="2">
        <v>15</v>
      </c>
      <c r="BX59" s="2">
        <v>40</v>
      </c>
    </row>
    <row r="60" spans="63:76" x14ac:dyDescent="0.35">
      <c r="BK60" s="19" t="s">
        <v>288</v>
      </c>
      <c r="BL60" s="2">
        <v>154</v>
      </c>
      <c r="BM60" s="2">
        <v>128</v>
      </c>
      <c r="BN60" s="2">
        <v>107</v>
      </c>
      <c r="BO60" s="2">
        <v>52</v>
      </c>
      <c r="BP60" s="2">
        <v>170</v>
      </c>
      <c r="BQ60" s="2">
        <v>130</v>
      </c>
      <c r="BR60" s="2">
        <v>65</v>
      </c>
      <c r="BS60" s="2">
        <v>177</v>
      </c>
      <c r="BT60" s="2">
        <v>237</v>
      </c>
      <c r="BU60" s="2">
        <v>196</v>
      </c>
      <c r="BV60" s="2">
        <v>135</v>
      </c>
      <c r="BW60" s="2">
        <v>231</v>
      </c>
      <c r="BX60" s="2">
        <v>219</v>
      </c>
    </row>
    <row r="61" spans="63:76" x14ac:dyDescent="0.35">
      <c r="BK61" s="19" t="s">
        <v>111</v>
      </c>
      <c r="BL61" s="2">
        <v>2</v>
      </c>
      <c r="BM61" s="2">
        <v>4</v>
      </c>
      <c r="BN61" s="2">
        <v>0</v>
      </c>
      <c r="BO61" s="2">
        <v>1</v>
      </c>
      <c r="BP61" s="2">
        <v>1</v>
      </c>
      <c r="BQ61" s="2">
        <v>1</v>
      </c>
      <c r="BR61" s="2">
        <v>1</v>
      </c>
      <c r="BS61" s="2">
        <v>1</v>
      </c>
      <c r="BT61" s="2">
        <v>0</v>
      </c>
      <c r="BU61" s="2">
        <v>0</v>
      </c>
      <c r="BV61" s="2">
        <v>4</v>
      </c>
      <c r="BW61" s="2">
        <v>4</v>
      </c>
      <c r="BX61" s="2">
        <v>8</v>
      </c>
    </row>
    <row r="62" spans="63:76" x14ac:dyDescent="0.35">
      <c r="BK62" s="19" t="s">
        <v>112</v>
      </c>
      <c r="BL62" s="2">
        <v>10</v>
      </c>
      <c r="BM62" s="2">
        <v>30</v>
      </c>
      <c r="BN62" s="2">
        <v>34</v>
      </c>
      <c r="BO62" s="2">
        <v>8</v>
      </c>
      <c r="BP62" s="2">
        <v>0</v>
      </c>
      <c r="BQ62" s="2">
        <v>8</v>
      </c>
      <c r="BR62" s="2">
        <v>19</v>
      </c>
      <c r="BS62" s="2">
        <v>7</v>
      </c>
      <c r="BT62" s="2">
        <v>0</v>
      </c>
      <c r="BU62" s="2">
        <v>7</v>
      </c>
      <c r="BV62" s="2">
        <v>13</v>
      </c>
      <c r="BW62" s="2">
        <v>24</v>
      </c>
      <c r="BX62" s="2">
        <v>7</v>
      </c>
    </row>
    <row r="63" spans="63:76" x14ac:dyDescent="0.35">
      <c r="BK63" s="19" t="s">
        <v>113</v>
      </c>
      <c r="BL63" s="2">
        <v>10</v>
      </c>
      <c r="BM63" s="2">
        <v>14</v>
      </c>
      <c r="BN63" s="2">
        <v>15</v>
      </c>
      <c r="BO63" s="2">
        <v>5</v>
      </c>
      <c r="BP63" s="2">
        <v>20</v>
      </c>
      <c r="BQ63" s="2">
        <v>1</v>
      </c>
      <c r="BR63" s="2">
        <v>0</v>
      </c>
      <c r="BS63" s="2">
        <v>5</v>
      </c>
      <c r="BT63" s="2">
        <v>12</v>
      </c>
      <c r="BU63" s="2">
        <v>6</v>
      </c>
      <c r="BV63" s="2">
        <v>4</v>
      </c>
      <c r="BW63" s="2">
        <v>1</v>
      </c>
      <c r="BX63" s="2">
        <v>15</v>
      </c>
    </row>
    <row r="64" spans="63:76" x14ac:dyDescent="0.35">
      <c r="BK64" s="19" t="s">
        <v>114</v>
      </c>
      <c r="BL64" s="2">
        <v>133</v>
      </c>
      <c r="BM64" s="2">
        <v>188</v>
      </c>
      <c r="BN64" s="2">
        <v>96</v>
      </c>
      <c r="BO64" s="2">
        <v>71</v>
      </c>
      <c r="BP64" s="2">
        <v>171</v>
      </c>
      <c r="BQ64" s="2">
        <v>143</v>
      </c>
      <c r="BR64" s="2">
        <v>168</v>
      </c>
      <c r="BS64" s="2">
        <v>100</v>
      </c>
      <c r="BT64" s="2">
        <v>178</v>
      </c>
      <c r="BU64" s="2">
        <v>124</v>
      </c>
      <c r="BV64" s="2">
        <v>180</v>
      </c>
      <c r="BW64" s="2">
        <v>195</v>
      </c>
      <c r="BX64" s="2">
        <v>189</v>
      </c>
    </row>
    <row r="65" spans="63:76" x14ac:dyDescent="0.35">
      <c r="BK65" s="19" t="s">
        <v>115</v>
      </c>
      <c r="BL65" s="2">
        <v>0</v>
      </c>
      <c r="BM65" s="2">
        <v>0</v>
      </c>
      <c r="BN65" s="2">
        <v>0</v>
      </c>
      <c r="BO65" s="2">
        <v>0</v>
      </c>
      <c r="BP65" s="2">
        <v>0</v>
      </c>
      <c r="BQ65" s="2">
        <v>76</v>
      </c>
      <c r="BR65" s="2">
        <v>84</v>
      </c>
      <c r="BS65" s="2">
        <v>154</v>
      </c>
      <c r="BT65" s="2">
        <v>200</v>
      </c>
      <c r="BU65" s="2">
        <v>167</v>
      </c>
      <c r="BV65" s="2">
        <v>176</v>
      </c>
      <c r="BW65" s="2">
        <v>153</v>
      </c>
      <c r="BX65" s="2">
        <v>164</v>
      </c>
    </row>
    <row r="66" spans="63:76" x14ac:dyDescent="0.35">
      <c r="BK66" s="19" t="s">
        <v>280</v>
      </c>
      <c r="BL66" s="2">
        <v>2</v>
      </c>
      <c r="BM66" s="2">
        <v>10</v>
      </c>
      <c r="BN66" s="2">
        <v>2</v>
      </c>
      <c r="BO66" s="2">
        <v>0</v>
      </c>
      <c r="BP66" s="2">
        <v>32</v>
      </c>
      <c r="BQ66" s="2">
        <v>42</v>
      </c>
      <c r="BR66" s="2">
        <v>3</v>
      </c>
      <c r="BS66" s="2">
        <v>6</v>
      </c>
      <c r="BT66" s="2">
        <v>8</v>
      </c>
      <c r="BU66" s="2">
        <v>28</v>
      </c>
      <c r="BV66" s="2">
        <v>8</v>
      </c>
      <c r="BW66" s="2">
        <v>21</v>
      </c>
      <c r="BX66" s="2">
        <v>39</v>
      </c>
    </row>
    <row r="67" spans="63:76" x14ac:dyDescent="0.35">
      <c r="BK67" s="19" t="s">
        <v>116</v>
      </c>
      <c r="BL67" s="2">
        <v>43</v>
      </c>
      <c r="BM67" s="2">
        <v>21</v>
      </c>
      <c r="BN67" s="2">
        <v>26</v>
      </c>
      <c r="BO67" s="2">
        <v>2</v>
      </c>
      <c r="BP67" s="2">
        <v>19</v>
      </c>
      <c r="BQ67" s="2">
        <v>59</v>
      </c>
      <c r="BR67" s="2">
        <v>43</v>
      </c>
      <c r="BS67" s="2">
        <v>58</v>
      </c>
      <c r="BT67" s="2">
        <v>51</v>
      </c>
      <c r="BU67" s="2">
        <v>80</v>
      </c>
      <c r="BV67" s="2">
        <v>89</v>
      </c>
      <c r="BW67" s="2">
        <v>30</v>
      </c>
      <c r="BX67" s="2">
        <v>3</v>
      </c>
    </row>
    <row r="68" spans="63:76" x14ac:dyDescent="0.35">
      <c r="BK68" s="19" t="s">
        <v>117</v>
      </c>
      <c r="BL68" s="2">
        <v>46</v>
      </c>
      <c r="BM68" s="2">
        <v>13</v>
      </c>
      <c r="BN68" s="2">
        <v>0</v>
      </c>
      <c r="BO68" s="2">
        <v>1</v>
      </c>
      <c r="BP68" s="2">
        <v>14</v>
      </c>
      <c r="BQ68" s="2">
        <v>3</v>
      </c>
      <c r="BR68" s="2">
        <v>2</v>
      </c>
      <c r="BS68" s="2">
        <v>0</v>
      </c>
      <c r="BT68" s="2">
        <v>0</v>
      </c>
      <c r="BU68" s="2">
        <v>0</v>
      </c>
      <c r="BV68" s="2">
        <v>1</v>
      </c>
      <c r="BW68" s="2">
        <v>6</v>
      </c>
      <c r="BX68" s="2">
        <v>0</v>
      </c>
    </row>
    <row r="69" spans="63:76" x14ac:dyDescent="0.35">
      <c r="BK69" s="19" t="s">
        <v>118</v>
      </c>
      <c r="BL69" s="2">
        <v>275</v>
      </c>
      <c r="BM69" s="2">
        <v>240</v>
      </c>
      <c r="BN69" s="2">
        <v>228</v>
      </c>
      <c r="BO69" s="2">
        <v>165</v>
      </c>
      <c r="BP69" s="2">
        <v>275</v>
      </c>
      <c r="BQ69" s="2">
        <v>249</v>
      </c>
      <c r="BR69" s="2">
        <v>147</v>
      </c>
      <c r="BS69" s="2">
        <v>225</v>
      </c>
      <c r="BT69" s="2">
        <v>285</v>
      </c>
      <c r="BU69" s="2">
        <v>235</v>
      </c>
      <c r="BV69" s="2">
        <v>230</v>
      </c>
      <c r="BW69" s="2">
        <v>238</v>
      </c>
      <c r="BX69" s="2">
        <v>240</v>
      </c>
    </row>
    <row r="70" spans="63:76" x14ac:dyDescent="0.35">
      <c r="BK70" s="19" t="s">
        <v>119</v>
      </c>
      <c r="BL70" s="2">
        <v>13</v>
      </c>
      <c r="BM70" s="2">
        <v>46</v>
      </c>
      <c r="BN70" s="2">
        <v>39</v>
      </c>
      <c r="BO70" s="2">
        <v>1</v>
      </c>
      <c r="BP70" s="2">
        <v>47</v>
      </c>
      <c r="BQ70" s="2">
        <v>99</v>
      </c>
      <c r="BR70" s="2">
        <v>13</v>
      </c>
      <c r="BS70" s="2">
        <v>44</v>
      </c>
      <c r="BT70" s="2">
        <v>45</v>
      </c>
      <c r="BU70" s="2">
        <v>50</v>
      </c>
      <c r="BV70" s="2">
        <v>66</v>
      </c>
      <c r="BW70" s="2">
        <v>78</v>
      </c>
      <c r="BX70" s="2">
        <v>38</v>
      </c>
    </row>
    <row r="71" spans="63:76" x14ac:dyDescent="0.35">
      <c r="BK71" s="19" t="s">
        <v>335</v>
      </c>
      <c r="BL71" s="2">
        <v>141</v>
      </c>
      <c r="BM71" s="2">
        <v>134</v>
      </c>
      <c r="BN71" s="2">
        <v>52</v>
      </c>
      <c r="BO71" s="2">
        <v>23</v>
      </c>
      <c r="BP71" s="2">
        <v>33</v>
      </c>
      <c r="BQ71" s="2">
        <v>141</v>
      </c>
      <c r="BR71" s="2">
        <v>43</v>
      </c>
      <c r="BS71" s="2">
        <v>70</v>
      </c>
      <c r="BT71" s="2">
        <v>73</v>
      </c>
      <c r="BU71" s="2">
        <v>78</v>
      </c>
      <c r="BV71" s="2">
        <v>49</v>
      </c>
      <c r="BW71" s="2">
        <v>83</v>
      </c>
      <c r="BX71" s="2">
        <v>47</v>
      </c>
    </row>
    <row r="72" spans="63:76" x14ac:dyDescent="0.35">
      <c r="BK72" s="19" t="s">
        <v>120</v>
      </c>
      <c r="BL72" s="2">
        <v>6</v>
      </c>
      <c r="BM72" s="2">
        <v>15</v>
      </c>
      <c r="BN72" s="2">
        <v>6</v>
      </c>
      <c r="BO72" s="2">
        <v>2</v>
      </c>
      <c r="BP72" s="2">
        <v>7</v>
      </c>
      <c r="BQ72" s="2">
        <v>10</v>
      </c>
      <c r="BR72" s="2">
        <v>5</v>
      </c>
      <c r="BS72" s="2">
        <v>3</v>
      </c>
      <c r="BT72" s="2">
        <v>21</v>
      </c>
      <c r="BU72" s="2">
        <v>6</v>
      </c>
      <c r="BV72" s="2">
        <v>11</v>
      </c>
      <c r="BW72" s="2">
        <v>21</v>
      </c>
      <c r="BX72" s="2">
        <v>13</v>
      </c>
    </row>
    <row r="73" spans="63:76" x14ac:dyDescent="0.35">
      <c r="BK73" s="19" t="s">
        <v>121</v>
      </c>
      <c r="BL73" s="2">
        <v>143</v>
      </c>
      <c r="BM73" s="2">
        <v>156</v>
      </c>
      <c r="BN73" s="2">
        <v>135</v>
      </c>
      <c r="BO73" s="2">
        <v>58</v>
      </c>
      <c r="BP73" s="2">
        <v>160</v>
      </c>
      <c r="BQ73" s="2">
        <v>184</v>
      </c>
      <c r="BR73" s="2">
        <v>53</v>
      </c>
      <c r="BS73" s="2">
        <v>138</v>
      </c>
      <c r="BT73" s="2">
        <v>140</v>
      </c>
      <c r="BU73" s="2">
        <v>176</v>
      </c>
      <c r="BV73" s="2">
        <v>139</v>
      </c>
      <c r="BW73" s="2">
        <v>126</v>
      </c>
      <c r="BX73" s="2">
        <v>144</v>
      </c>
    </row>
    <row r="74" spans="63:76" x14ac:dyDescent="0.35">
      <c r="BK74" s="19" t="s">
        <v>122</v>
      </c>
      <c r="BL74" s="2">
        <v>19</v>
      </c>
      <c r="BM74" s="2">
        <v>39</v>
      </c>
      <c r="BN74" s="2">
        <v>14</v>
      </c>
      <c r="BO74" s="2">
        <v>14</v>
      </c>
      <c r="BP74" s="2">
        <v>34</v>
      </c>
      <c r="BQ74" s="2">
        <v>20</v>
      </c>
      <c r="BR74" s="2">
        <v>13</v>
      </c>
      <c r="BS74" s="2">
        <v>12</v>
      </c>
      <c r="BT74" s="2">
        <v>1</v>
      </c>
      <c r="BU74" s="2">
        <v>9</v>
      </c>
      <c r="BV74" s="2">
        <v>21</v>
      </c>
      <c r="BW74" s="2">
        <v>31</v>
      </c>
      <c r="BX74" s="2">
        <v>24</v>
      </c>
    </row>
    <row r="75" spans="63:76" x14ac:dyDescent="0.35">
      <c r="BK75" s="19" t="s">
        <v>123</v>
      </c>
      <c r="BL75" s="2">
        <v>10</v>
      </c>
      <c r="BM75" s="2">
        <v>6</v>
      </c>
      <c r="BN75" s="2">
        <v>4</v>
      </c>
      <c r="BO75" s="2">
        <v>2</v>
      </c>
      <c r="BP75" s="2">
        <v>26</v>
      </c>
      <c r="BQ75" s="2">
        <v>10</v>
      </c>
      <c r="BR75" s="2">
        <v>1</v>
      </c>
      <c r="BS75" s="2">
        <v>10</v>
      </c>
      <c r="BT75" s="2">
        <v>4</v>
      </c>
      <c r="BU75" s="2">
        <v>25</v>
      </c>
      <c r="BV75" s="2">
        <v>3</v>
      </c>
      <c r="BW75" s="2">
        <v>23</v>
      </c>
      <c r="BX75" s="2">
        <v>94</v>
      </c>
    </row>
    <row r="76" spans="63:76" x14ac:dyDescent="0.35">
      <c r="BK76" s="19" t="s">
        <v>124</v>
      </c>
      <c r="BL76" s="2">
        <v>2</v>
      </c>
      <c r="BM76" s="2">
        <v>0</v>
      </c>
      <c r="BN76" s="2">
        <v>0</v>
      </c>
      <c r="BO76" s="2">
        <v>0</v>
      </c>
      <c r="BP76" s="2">
        <v>0</v>
      </c>
      <c r="BQ76" s="2">
        <v>0</v>
      </c>
      <c r="BR76" s="2">
        <v>0</v>
      </c>
      <c r="BS76" s="2">
        <v>0</v>
      </c>
      <c r="BT76" s="2">
        <v>0</v>
      </c>
      <c r="BU76" s="2">
        <v>4</v>
      </c>
      <c r="BV76" s="2">
        <v>3</v>
      </c>
      <c r="BW76" s="2">
        <v>0</v>
      </c>
      <c r="BX76" s="2">
        <v>0</v>
      </c>
    </row>
    <row r="77" spans="63:76" x14ac:dyDescent="0.35">
      <c r="BK77" s="19" t="s">
        <v>289</v>
      </c>
      <c r="BL77" s="2">
        <v>302</v>
      </c>
      <c r="BM77" s="2">
        <v>354</v>
      </c>
      <c r="BN77" s="2">
        <v>156</v>
      </c>
      <c r="BO77" s="2">
        <v>41</v>
      </c>
      <c r="BP77" s="2">
        <v>245</v>
      </c>
      <c r="BQ77" s="2">
        <v>182</v>
      </c>
      <c r="BR77" s="2">
        <v>188</v>
      </c>
      <c r="BS77" s="2">
        <v>129</v>
      </c>
      <c r="BT77" s="2">
        <v>208</v>
      </c>
      <c r="BU77" s="2">
        <v>253</v>
      </c>
      <c r="BV77" s="2">
        <v>157</v>
      </c>
      <c r="BW77" s="2">
        <v>138</v>
      </c>
      <c r="BX77" s="2">
        <v>210</v>
      </c>
    </row>
    <row r="78" spans="63:76" x14ac:dyDescent="0.35">
      <c r="BK78" s="19" t="s">
        <v>125</v>
      </c>
      <c r="BL78" s="2">
        <v>72</v>
      </c>
      <c r="BM78" s="2">
        <v>32</v>
      </c>
      <c r="BN78" s="2">
        <v>9</v>
      </c>
      <c r="BO78" s="2">
        <v>2</v>
      </c>
      <c r="BP78" s="2">
        <v>46</v>
      </c>
      <c r="BQ78" s="2">
        <v>48</v>
      </c>
      <c r="BR78" s="2">
        <v>5</v>
      </c>
      <c r="BS78" s="2">
        <v>22</v>
      </c>
      <c r="BT78" s="2">
        <v>9</v>
      </c>
      <c r="BU78" s="2">
        <v>26</v>
      </c>
      <c r="BV78" s="2">
        <v>63</v>
      </c>
      <c r="BW78" s="2">
        <v>19</v>
      </c>
      <c r="BX78" s="2">
        <v>2</v>
      </c>
    </row>
    <row r="79" spans="63:76" x14ac:dyDescent="0.35">
      <c r="BK79" s="19" t="s">
        <v>126</v>
      </c>
      <c r="BL79" s="2">
        <v>247</v>
      </c>
      <c r="BM79" s="2">
        <v>145</v>
      </c>
      <c r="BN79" s="2">
        <v>148</v>
      </c>
      <c r="BO79" s="2">
        <v>164</v>
      </c>
      <c r="BP79" s="2">
        <v>197</v>
      </c>
      <c r="BQ79" s="2">
        <v>193</v>
      </c>
      <c r="BR79" s="2">
        <v>200</v>
      </c>
      <c r="BS79" s="2">
        <v>155</v>
      </c>
      <c r="BT79" s="2">
        <v>97</v>
      </c>
      <c r="BU79" s="2">
        <v>149</v>
      </c>
      <c r="BV79" s="2">
        <v>157</v>
      </c>
      <c r="BW79" s="2">
        <v>105</v>
      </c>
      <c r="BX79" s="2">
        <v>142</v>
      </c>
    </row>
    <row r="80" spans="63:76" x14ac:dyDescent="0.35">
      <c r="BK80" s="19" t="s">
        <v>127</v>
      </c>
      <c r="BL80" s="2">
        <v>11</v>
      </c>
      <c r="BM80" s="2">
        <v>0</v>
      </c>
      <c r="BN80" s="2">
        <v>3</v>
      </c>
      <c r="BO80" s="2">
        <v>0</v>
      </c>
      <c r="BP80" s="2">
        <v>1</v>
      </c>
      <c r="BQ80" s="2">
        <v>1</v>
      </c>
      <c r="BR80" s="2">
        <v>0</v>
      </c>
      <c r="BS80" s="2">
        <v>1</v>
      </c>
      <c r="BT80" s="2">
        <v>0</v>
      </c>
      <c r="BU80" s="2">
        <v>4</v>
      </c>
      <c r="BV80" s="2">
        <v>2</v>
      </c>
      <c r="BW80" s="2">
        <v>4</v>
      </c>
      <c r="BX80" s="2">
        <v>8</v>
      </c>
    </row>
    <row r="81" spans="63:76" x14ac:dyDescent="0.35">
      <c r="BK81" s="19" t="s">
        <v>128</v>
      </c>
      <c r="BL81" s="2">
        <v>120</v>
      </c>
      <c r="BM81" s="2">
        <v>136</v>
      </c>
      <c r="BN81" s="2">
        <v>105</v>
      </c>
      <c r="BO81" s="2">
        <v>43</v>
      </c>
      <c r="BP81" s="2">
        <v>118</v>
      </c>
      <c r="BQ81" s="2">
        <v>117</v>
      </c>
      <c r="BR81" s="2">
        <v>67</v>
      </c>
      <c r="BS81" s="2">
        <v>109</v>
      </c>
      <c r="BT81" s="2">
        <v>89</v>
      </c>
      <c r="BU81" s="2">
        <v>76</v>
      </c>
      <c r="BV81" s="2">
        <v>53</v>
      </c>
      <c r="BW81" s="2">
        <v>78</v>
      </c>
      <c r="BX81" s="2">
        <v>89</v>
      </c>
    </row>
    <row r="82" spans="63:76" x14ac:dyDescent="0.35">
      <c r="BK82" s="19" t="s">
        <v>336</v>
      </c>
      <c r="BL82" s="2">
        <v>1</v>
      </c>
      <c r="BM82" s="2">
        <v>11</v>
      </c>
      <c r="BN82" s="2">
        <v>2</v>
      </c>
      <c r="BO82" s="2">
        <v>1</v>
      </c>
      <c r="BP82" s="2">
        <v>7</v>
      </c>
      <c r="BQ82" s="2">
        <v>3</v>
      </c>
      <c r="BR82" s="2">
        <v>2</v>
      </c>
      <c r="BS82" s="2">
        <v>4</v>
      </c>
      <c r="BT82" s="2">
        <v>3</v>
      </c>
      <c r="BU82" s="2">
        <v>2</v>
      </c>
      <c r="BV82" s="2">
        <v>0</v>
      </c>
      <c r="BW82" s="2">
        <v>4</v>
      </c>
      <c r="BX82" s="2">
        <v>11</v>
      </c>
    </row>
    <row r="83" spans="63:76" x14ac:dyDescent="0.35">
      <c r="BK83" s="19" t="s">
        <v>129</v>
      </c>
      <c r="BL83" s="2">
        <v>101</v>
      </c>
      <c r="BM83" s="2">
        <v>90</v>
      </c>
      <c r="BN83" s="2">
        <v>72</v>
      </c>
      <c r="BO83" s="2">
        <v>38</v>
      </c>
      <c r="BP83" s="2">
        <v>166</v>
      </c>
      <c r="BQ83" s="2">
        <v>176</v>
      </c>
      <c r="BR83" s="2">
        <v>52</v>
      </c>
      <c r="BS83" s="2">
        <v>58</v>
      </c>
      <c r="BT83" s="2">
        <v>97</v>
      </c>
      <c r="BU83" s="2">
        <v>152</v>
      </c>
      <c r="BV83" s="2">
        <v>75</v>
      </c>
      <c r="BW83" s="2">
        <v>89</v>
      </c>
      <c r="BX83" s="2">
        <v>119</v>
      </c>
    </row>
    <row r="84" spans="63:76" x14ac:dyDescent="0.35">
      <c r="BK84" s="19" t="s">
        <v>130</v>
      </c>
      <c r="BL84" s="2">
        <v>14</v>
      </c>
      <c r="BM84" s="2">
        <v>19</v>
      </c>
      <c r="BN84" s="2">
        <v>19</v>
      </c>
      <c r="BO84" s="2">
        <v>3</v>
      </c>
      <c r="BP84" s="2">
        <v>2</v>
      </c>
      <c r="BQ84" s="2">
        <v>11</v>
      </c>
      <c r="BR84" s="2">
        <v>1</v>
      </c>
      <c r="BS84" s="2">
        <v>15</v>
      </c>
      <c r="BT84" s="2">
        <v>9</v>
      </c>
      <c r="BU84" s="2">
        <v>17</v>
      </c>
      <c r="BV84" s="2">
        <v>23</v>
      </c>
      <c r="BW84" s="2">
        <v>26</v>
      </c>
      <c r="BX84" s="2">
        <v>48</v>
      </c>
    </row>
    <row r="85" spans="63:76" x14ac:dyDescent="0.35">
      <c r="BK85" s="19" t="s">
        <v>131</v>
      </c>
      <c r="BL85" s="2">
        <v>58</v>
      </c>
      <c r="BM85" s="2">
        <v>70</v>
      </c>
      <c r="BN85" s="2">
        <v>77</v>
      </c>
      <c r="BO85" s="2">
        <v>14</v>
      </c>
      <c r="BP85" s="2">
        <v>119</v>
      </c>
      <c r="BQ85" s="2">
        <v>47</v>
      </c>
      <c r="BR85" s="2">
        <v>24</v>
      </c>
      <c r="BS85" s="2">
        <v>29</v>
      </c>
      <c r="BT85" s="2">
        <v>34</v>
      </c>
      <c r="BU85" s="2">
        <v>35</v>
      </c>
      <c r="BV85" s="2">
        <v>38</v>
      </c>
      <c r="BW85" s="2">
        <v>33</v>
      </c>
      <c r="BX85" s="2">
        <v>42</v>
      </c>
    </row>
    <row r="86" spans="63:76" x14ac:dyDescent="0.35">
      <c r="BK86" s="19" t="s">
        <v>132</v>
      </c>
      <c r="BL86" s="2">
        <v>0</v>
      </c>
      <c r="BM86" s="2">
        <v>0</v>
      </c>
      <c r="BN86" s="2">
        <v>0</v>
      </c>
      <c r="BO86" s="2">
        <v>0</v>
      </c>
      <c r="BP86" s="2">
        <v>0</v>
      </c>
      <c r="BQ86" s="2">
        <v>0</v>
      </c>
      <c r="BR86" s="2">
        <v>0</v>
      </c>
      <c r="BS86" s="2">
        <v>0</v>
      </c>
      <c r="BT86" s="2">
        <v>0</v>
      </c>
      <c r="BU86" s="2">
        <v>0</v>
      </c>
      <c r="BV86" s="2">
        <v>0</v>
      </c>
      <c r="BW86" s="2">
        <v>0</v>
      </c>
      <c r="BX86" s="2">
        <v>0</v>
      </c>
    </row>
    <row r="87" spans="63:76" x14ac:dyDescent="0.35">
      <c r="BK87" s="19" t="s">
        <v>133</v>
      </c>
      <c r="BL87" s="2">
        <v>202</v>
      </c>
      <c r="BM87" s="2">
        <v>141</v>
      </c>
      <c r="BN87" s="2">
        <v>51</v>
      </c>
      <c r="BO87" s="2">
        <v>32</v>
      </c>
      <c r="BP87" s="2">
        <v>86</v>
      </c>
      <c r="BQ87" s="2">
        <v>80</v>
      </c>
      <c r="BR87" s="2">
        <v>113</v>
      </c>
      <c r="BS87" s="2">
        <v>110</v>
      </c>
      <c r="BT87" s="2">
        <v>216</v>
      </c>
      <c r="BU87" s="2">
        <v>150</v>
      </c>
      <c r="BV87" s="2">
        <v>116</v>
      </c>
      <c r="BW87" s="2">
        <v>176</v>
      </c>
      <c r="BX87" s="2">
        <v>182</v>
      </c>
    </row>
    <row r="88" spans="63:76" x14ac:dyDescent="0.35">
      <c r="BK88" s="19" t="s">
        <v>134</v>
      </c>
      <c r="BL88" s="2">
        <v>1</v>
      </c>
      <c r="BM88" s="2">
        <v>0</v>
      </c>
      <c r="BN88" s="2">
        <v>0</v>
      </c>
      <c r="BO88" s="2">
        <v>1</v>
      </c>
      <c r="BP88" s="2">
        <v>0</v>
      </c>
      <c r="BQ88" s="2">
        <v>0</v>
      </c>
      <c r="BR88" s="2">
        <v>1</v>
      </c>
      <c r="BS88" s="2">
        <v>0</v>
      </c>
      <c r="BT88" s="2">
        <v>2</v>
      </c>
      <c r="BU88" s="2">
        <v>3</v>
      </c>
      <c r="BV88" s="2">
        <v>2</v>
      </c>
      <c r="BW88" s="2">
        <v>0</v>
      </c>
      <c r="BX88" s="2">
        <v>1</v>
      </c>
    </row>
    <row r="89" spans="63:76" x14ac:dyDescent="0.35">
      <c r="BK89" s="19" t="s">
        <v>135</v>
      </c>
      <c r="BL89" s="2">
        <v>293</v>
      </c>
      <c r="BM89" s="2">
        <v>223</v>
      </c>
      <c r="BN89" s="2">
        <v>127</v>
      </c>
      <c r="BO89" s="2">
        <v>55</v>
      </c>
      <c r="BP89" s="2">
        <v>258</v>
      </c>
      <c r="BQ89" s="2">
        <v>174</v>
      </c>
      <c r="BR89" s="2">
        <v>147</v>
      </c>
      <c r="BS89" s="2">
        <v>217</v>
      </c>
      <c r="BT89" s="2">
        <v>262</v>
      </c>
      <c r="BU89" s="2">
        <v>247</v>
      </c>
      <c r="BV89" s="2">
        <v>251</v>
      </c>
      <c r="BW89" s="2">
        <v>129</v>
      </c>
      <c r="BX89" s="2">
        <v>160</v>
      </c>
    </row>
    <row r="90" spans="63:76" x14ac:dyDescent="0.35">
      <c r="BK90" s="19" t="s">
        <v>291</v>
      </c>
      <c r="BL90" s="2">
        <v>1</v>
      </c>
      <c r="BM90" s="2">
        <v>8</v>
      </c>
      <c r="BN90" s="2">
        <v>2</v>
      </c>
      <c r="BO90" s="2">
        <v>0</v>
      </c>
      <c r="BP90" s="2">
        <v>6</v>
      </c>
      <c r="BQ90" s="2">
        <v>26</v>
      </c>
      <c r="BR90" s="2">
        <v>7</v>
      </c>
      <c r="BS90" s="2">
        <v>9</v>
      </c>
      <c r="BT90" s="2">
        <v>11</v>
      </c>
      <c r="BU90" s="2">
        <v>11</v>
      </c>
      <c r="BV90" s="2">
        <v>4</v>
      </c>
      <c r="BW90" s="2">
        <v>23</v>
      </c>
      <c r="BX90" s="2">
        <v>5</v>
      </c>
    </row>
    <row r="91" spans="63:76" x14ac:dyDescent="0.35">
      <c r="BK91" s="19" t="s">
        <v>136</v>
      </c>
      <c r="BL91" s="2">
        <v>36</v>
      </c>
      <c r="BM91" s="2">
        <v>15</v>
      </c>
      <c r="BN91" s="2">
        <v>39</v>
      </c>
      <c r="BO91" s="2">
        <v>16</v>
      </c>
      <c r="BP91" s="2">
        <v>50</v>
      </c>
      <c r="BQ91" s="2">
        <v>36</v>
      </c>
      <c r="BR91" s="2">
        <v>31</v>
      </c>
      <c r="BS91" s="2">
        <v>33</v>
      </c>
      <c r="BT91" s="2">
        <v>29</v>
      </c>
      <c r="BU91" s="2">
        <v>46</v>
      </c>
      <c r="BV91" s="2">
        <v>40</v>
      </c>
      <c r="BW91" s="2">
        <v>53</v>
      </c>
      <c r="BX91" s="2">
        <v>33</v>
      </c>
    </row>
    <row r="92" spans="63:76" x14ac:dyDescent="0.35">
      <c r="BK92" s="19" t="s">
        <v>281</v>
      </c>
      <c r="BL92" s="2">
        <v>52</v>
      </c>
      <c r="BM92" s="2">
        <v>30</v>
      </c>
      <c r="BN92" s="2">
        <v>41</v>
      </c>
      <c r="BO92" s="2">
        <v>26</v>
      </c>
      <c r="BP92" s="2">
        <v>46</v>
      </c>
      <c r="BQ92" s="2">
        <v>35</v>
      </c>
      <c r="BR92" s="2">
        <v>21</v>
      </c>
      <c r="BS92" s="2">
        <v>23</v>
      </c>
      <c r="BT92" s="2">
        <v>50</v>
      </c>
      <c r="BU92" s="2">
        <v>21</v>
      </c>
      <c r="BV92" s="2">
        <v>13</v>
      </c>
      <c r="BW92" s="2">
        <v>16</v>
      </c>
      <c r="BX92" s="2">
        <v>19</v>
      </c>
    </row>
    <row r="93" spans="63:76" x14ac:dyDescent="0.35">
      <c r="BK93" s="19" t="s">
        <v>137</v>
      </c>
      <c r="BL93" s="2">
        <v>17</v>
      </c>
      <c r="BM93" s="2">
        <v>11</v>
      </c>
      <c r="BN93" s="2">
        <v>42</v>
      </c>
      <c r="BO93" s="2">
        <v>7</v>
      </c>
      <c r="BP93" s="2">
        <v>21</v>
      </c>
      <c r="BQ93" s="2">
        <v>20</v>
      </c>
      <c r="BR93" s="2">
        <v>14</v>
      </c>
      <c r="BS93" s="2">
        <v>19</v>
      </c>
      <c r="BT93" s="2">
        <v>16</v>
      </c>
      <c r="BU93" s="2">
        <v>1</v>
      </c>
      <c r="BV93" s="2">
        <v>20</v>
      </c>
      <c r="BW93" s="2">
        <v>26</v>
      </c>
      <c r="BX93" s="2">
        <v>36</v>
      </c>
    </row>
    <row r="94" spans="63:76" x14ac:dyDescent="0.35">
      <c r="BK94" s="19" t="s">
        <v>138</v>
      </c>
      <c r="BL94" s="2">
        <v>10</v>
      </c>
      <c r="BM94" s="2">
        <v>30</v>
      </c>
      <c r="BN94" s="2">
        <v>4</v>
      </c>
      <c r="BO94" s="2">
        <v>0</v>
      </c>
      <c r="BP94" s="2">
        <v>0</v>
      </c>
      <c r="BQ94" s="2">
        <v>15</v>
      </c>
      <c r="BR94" s="2">
        <v>1</v>
      </c>
      <c r="BS94" s="2">
        <v>13</v>
      </c>
      <c r="BT94" s="2">
        <v>26</v>
      </c>
      <c r="BU94" s="2">
        <v>23</v>
      </c>
      <c r="BV94" s="2">
        <v>37</v>
      </c>
      <c r="BW94" s="2">
        <v>20</v>
      </c>
      <c r="BX94" s="2">
        <v>17</v>
      </c>
    </row>
    <row r="95" spans="63:76" x14ac:dyDescent="0.35">
      <c r="BK95" s="19" t="s">
        <v>139</v>
      </c>
      <c r="BL95" s="2">
        <v>10</v>
      </c>
      <c r="BM95" s="2">
        <v>14</v>
      </c>
      <c r="BN95" s="2">
        <v>28</v>
      </c>
      <c r="BO95" s="2">
        <v>9</v>
      </c>
      <c r="BP95" s="2">
        <v>15</v>
      </c>
      <c r="BQ95" s="2">
        <v>26</v>
      </c>
      <c r="BR95" s="2">
        <v>23</v>
      </c>
      <c r="BS95" s="2">
        <v>6</v>
      </c>
      <c r="BT95" s="2">
        <v>26</v>
      </c>
      <c r="BU95" s="2">
        <v>21</v>
      </c>
      <c r="BV95" s="2">
        <v>47</v>
      </c>
      <c r="BW95" s="2">
        <v>12</v>
      </c>
      <c r="BX95" s="2">
        <v>46</v>
      </c>
    </row>
    <row r="96" spans="63:76" x14ac:dyDescent="0.35">
      <c r="BK96" s="19" t="s">
        <v>140</v>
      </c>
      <c r="BL96" s="2">
        <v>66</v>
      </c>
      <c r="BM96" s="2">
        <v>71</v>
      </c>
      <c r="BN96" s="2">
        <v>38</v>
      </c>
      <c r="BO96" s="2">
        <v>25</v>
      </c>
      <c r="BP96" s="2">
        <v>114</v>
      </c>
      <c r="BQ96" s="2">
        <v>67</v>
      </c>
      <c r="BR96" s="2">
        <v>9</v>
      </c>
      <c r="BS96" s="2">
        <v>44</v>
      </c>
      <c r="BT96" s="2">
        <v>78</v>
      </c>
      <c r="BU96" s="2">
        <v>67</v>
      </c>
      <c r="BV96" s="2">
        <v>91</v>
      </c>
      <c r="BW96" s="2">
        <v>88</v>
      </c>
      <c r="BX96" s="2">
        <v>68</v>
      </c>
    </row>
    <row r="97" spans="63:76" x14ac:dyDescent="0.35">
      <c r="BK97" s="19" t="s">
        <v>141</v>
      </c>
      <c r="BL97" s="2">
        <v>3</v>
      </c>
      <c r="BM97" s="2">
        <v>57</v>
      </c>
      <c r="BN97" s="2">
        <v>23</v>
      </c>
      <c r="BO97" s="2">
        <v>2</v>
      </c>
      <c r="BP97" s="2">
        <v>14</v>
      </c>
      <c r="BQ97" s="2">
        <v>16</v>
      </c>
      <c r="BR97" s="2">
        <v>14</v>
      </c>
      <c r="BS97" s="2">
        <v>22</v>
      </c>
      <c r="BT97" s="2">
        <v>16</v>
      </c>
      <c r="BU97" s="2">
        <v>26</v>
      </c>
      <c r="BV97" s="2">
        <v>31</v>
      </c>
      <c r="BW97" s="2">
        <v>19</v>
      </c>
      <c r="BX97" s="2">
        <v>31</v>
      </c>
    </row>
    <row r="98" spans="63:76" x14ac:dyDescent="0.35">
      <c r="BK98" s="19" t="s">
        <v>142</v>
      </c>
      <c r="BL98" s="2">
        <v>0</v>
      </c>
      <c r="BM98" s="2">
        <v>30</v>
      </c>
      <c r="BN98" s="2">
        <v>18</v>
      </c>
      <c r="BO98" s="2">
        <v>1</v>
      </c>
      <c r="BP98" s="2">
        <v>10</v>
      </c>
      <c r="BQ98" s="2">
        <v>8</v>
      </c>
      <c r="BR98" s="2">
        <v>40</v>
      </c>
      <c r="BS98" s="2">
        <v>4</v>
      </c>
      <c r="BT98" s="2">
        <v>19</v>
      </c>
      <c r="BU98" s="2">
        <v>17</v>
      </c>
      <c r="BV98" s="2">
        <v>1</v>
      </c>
      <c r="BW98" s="2">
        <v>0</v>
      </c>
      <c r="BX98" s="2">
        <v>3</v>
      </c>
    </row>
    <row r="99" spans="63:76" x14ac:dyDescent="0.35">
      <c r="BK99" s="19" t="s">
        <v>143</v>
      </c>
      <c r="BL99" s="2">
        <v>2</v>
      </c>
      <c r="BM99" s="2">
        <v>7</v>
      </c>
      <c r="BN99" s="2">
        <v>5</v>
      </c>
      <c r="BO99" s="2">
        <v>2</v>
      </c>
      <c r="BP99" s="2">
        <v>2</v>
      </c>
      <c r="BQ99" s="2">
        <v>0</v>
      </c>
      <c r="BR99" s="2">
        <v>3</v>
      </c>
      <c r="BS99" s="2">
        <v>0</v>
      </c>
      <c r="BT99" s="2">
        <v>3</v>
      </c>
      <c r="BU99" s="2">
        <v>1</v>
      </c>
      <c r="BV99" s="2">
        <v>0</v>
      </c>
      <c r="BW99" s="2">
        <v>4</v>
      </c>
      <c r="BX99" s="2">
        <v>2</v>
      </c>
    </row>
    <row r="100" spans="63:76" x14ac:dyDescent="0.35">
      <c r="BK100" s="19" t="s">
        <v>144</v>
      </c>
      <c r="BL100" s="2">
        <v>71</v>
      </c>
      <c r="BM100" s="2">
        <v>125</v>
      </c>
      <c r="BN100" s="2">
        <v>69</v>
      </c>
      <c r="BO100" s="2">
        <v>46</v>
      </c>
      <c r="BP100" s="2">
        <v>164</v>
      </c>
      <c r="BQ100" s="2">
        <v>115</v>
      </c>
      <c r="BR100" s="2">
        <v>65</v>
      </c>
      <c r="BS100" s="2">
        <v>10</v>
      </c>
      <c r="BT100" s="2">
        <v>66</v>
      </c>
      <c r="BU100" s="2">
        <v>104</v>
      </c>
      <c r="BV100" s="2">
        <v>64</v>
      </c>
      <c r="BW100" s="2">
        <v>116</v>
      </c>
      <c r="BX100" s="2">
        <v>26</v>
      </c>
    </row>
    <row r="101" spans="63:76" x14ac:dyDescent="0.35">
      <c r="BK101" s="19" t="s">
        <v>145</v>
      </c>
      <c r="BL101" s="2">
        <v>7</v>
      </c>
      <c r="BM101" s="2">
        <v>23</v>
      </c>
      <c r="BN101" s="2">
        <v>2</v>
      </c>
      <c r="BO101" s="2">
        <v>3</v>
      </c>
      <c r="BP101" s="2">
        <v>12</v>
      </c>
      <c r="BQ101" s="2">
        <v>13</v>
      </c>
      <c r="BR101" s="2">
        <v>16</v>
      </c>
      <c r="BS101" s="2">
        <v>1</v>
      </c>
      <c r="BT101" s="2">
        <v>9</v>
      </c>
      <c r="BU101" s="2">
        <v>0</v>
      </c>
      <c r="BV101" s="2">
        <v>11</v>
      </c>
      <c r="BW101" s="2">
        <v>6</v>
      </c>
      <c r="BX101" s="2">
        <v>18</v>
      </c>
    </row>
    <row r="102" spans="63:76" x14ac:dyDescent="0.35">
      <c r="BK102" s="19" t="s">
        <v>146</v>
      </c>
      <c r="BL102" s="2">
        <v>0</v>
      </c>
      <c r="BM102" s="2">
        <v>0</v>
      </c>
      <c r="BN102" s="2">
        <v>2</v>
      </c>
      <c r="BO102" s="2">
        <v>0</v>
      </c>
      <c r="BP102" s="2">
        <v>0</v>
      </c>
      <c r="BQ102" s="2">
        <v>0</v>
      </c>
      <c r="BR102" s="2">
        <v>0</v>
      </c>
      <c r="BS102" s="2">
        <v>0</v>
      </c>
      <c r="BT102" s="2">
        <v>1</v>
      </c>
      <c r="BU102" s="2">
        <v>0</v>
      </c>
      <c r="BV102" s="2">
        <v>1</v>
      </c>
      <c r="BW102" s="2">
        <v>0</v>
      </c>
      <c r="BX102" s="2">
        <v>0</v>
      </c>
    </row>
    <row r="103" spans="63:76" x14ac:dyDescent="0.35">
      <c r="BK103" s="19" t="s">
        <v>147</v>
      </c>
      <c r="BL103" s="2">
        <v>116</v>
      </c>
      <c r="BM103" s="2">
        <v>114</v>
      </c>
      <c r="BN103" s="2">
        <v>44</v>
      </c>
      <c r="BO103" s="2">
        <v>43</v>
      </c>
      <c r="BP103" s="2">
        <v>85</v>
      </c>
      <c r="BQ103" s="2">
        <v>81</v>
      </c>
      <c r="BR103" s="2">
        <v>59</v>
      </c>
      <c r="BS103" s="2">
        <v>77</v>
      </c>
      <c r="BT103" s="2">
        <v>98</v>
      </c>
      <c r="BU103" s="2">
        <v>95</v>
      </c>
      <c r="BV103" s="2">
        <v>93</v>
      </c>
      <c r="BW103" s="2">
        <v>56</v>
      </c>
      <c r="BX103" s="2">
        <v>108</v>
      </c>
    </row>
    <row r="104" spans="63:76" x14ac:dyDescent="0.35">
      <c r="BK104" s="19" t="s">
        <v>257</v>
      </c>
      <c r="BL104" s="2">
        <v>86</v>
      </c>
      <c r="BM104" s="2">
        <v>135</v>
      </c>
      <c r="BN104" s="2">
        <v>90</v>
      </c>
      <c r="BO104" s="2">
        <v>82</v>
      </c>
      <c r="BP104" s="2">
        <v>123</v>
      </c>
      <c r="BQ104" s="2">
        <v>39</v>
      </c>
      <c r="BR104" s="2">
        <v>35</v>
      </c>
      <c r="BS104" s="2">
        <v>49</v>
      </c>
      <c r="BT104" s="2">
        <v>70</v>
      </c>
      <c r="BU104" s="2">
        <v>64</v>
      </c>
      <c r="BV104" s="2">
        <v>66</v>
      </c>
      <c r="BW104" s="2">
        <v>94</v>
      </c>
      <c r="BX104" s="2">
        <v>99</v>
      </c>
    </row>
    <row r="105" spans="63:76" x14ac:dyDescent="0.35">
      <c r="BK105" s="19" t="s">
        <v>148</v>
      </c>
      <c r="BL105" s="2">
        <v>77</v>
      </c>
      <c r="BM105" s="2">
        <v>70</v>
      </c>
      <c r="BN105" s="2">
        <v>39</v>
      </c>
      <c r="BO105" s="2">
        <v>26</v>
      </c>
      <c r="BP105" s="2">
        <v>74</v>
      </c>
      <c r="BQ105" s="2">
        <v>27</v>
      </c>
      <c r="BR105" s="2">
        <v>30</v>
      </c>
      <c r="BS105" s="2">
        <v>12</v>
      </c>
      <c r="BT105" s="2">
        <v>28</v>
      </c>
      <c r="BU105" s="2">
        <v>9</v>
      </c>
      <c r="BV105" s="2">
        <v>24</v>
      </c>
      <c r="BW105" s="2">
        <v>23</v>
      </c>
      <c r="BX105" s="2">
        <v>40</v>
      </c>
    </row>
    <row r="106" spans="63:76" x14ac:dyDescent="0.35">
      <c r="BK106" s="19" t="s">
        <v>149</v>
      </c>
      <c r="BL106" s="2">
        <v>181</v>
      </c>
      <c r="BM106" s="2">
        <v>187</v>
      </c>
      <c r="BN106" s="2">
        <v>101</v>
      </c>
      <c r="BO106" s="2">
        <v>48</v>
      </c>
      <c r="BP106" s="2">
        <v>97</v>
      </c>
      <c r="BQ106" s="2">
        <v>72</v>
      </c>
      <c r="BR106" s="2">
        <v>57</v>
      </c>
      <c r="BS106" s="2">
        <v>62</v>
      </c>
      <c r="BT106" s="2">
        <v>98</v>
      </c>
      <c r="BU106" s="2">
        <v>118</v>
      </c>
      <c r="BV106" s="2">
        <v>98</v>
      </c>
      <c r="BW106" s="2">
        <v>104</v>
      </c>
      <c r="BX106" s="2">
        <v>57</v>
      </c>
    </row>
    <row r="107" spans="63:76" x14ac:dyDescent="0.35">
      <c r="BK107" s="19" t="s">
        <v>150</v>
      </c>
      <c r="BL107" s="2">
        <v>67</v>
      </c>
      <c r="BM107" s="2">
        <v>130</v>
      </c>
      <c r="BN107" s="2">
        <v>151</v>
      </c>
      <c r="BO107" s="2">
        <v>67</v>
      </c>
      <c r="BP107" s="2">
        <v>133</v>
      </c>
      <c r="BQ107" s="2">
        <v>142</v>
      </c>
      <c r="BR107" s="2">
        <v>137</v>
      </c>
      <c r="BS107" s="2">
        <v>127</v>
      </c>
      <c r="BT107" s="2">
        <v>73</v>
      </c>
      <c r="BU107" s="2">
        <v>118</v>
      </c>
      <c r="BV107" s="2">
        <v>138</v>
      </c>
      <c r="BW107" s="2">
        <v>120</v>
      </c>
      <c r="BX107" s="2">
        <v>109</v>
      </c>
    </row>
    <row r="108" spans="63:76" x14ac:dyDescent="0.35">
      <c r="BK108" s="19" t="s">
        <v>151</v>
      </c>
      <c r="BL108" s="2">
        <v>184</v>
      </c>
      <c r="BM108" s="2">
        <v>199</v>
      </c>
      <c r="BN108" s="2">
        <v>115</v>
      </c>
      <c r="BO108" s="2">
        <v>76</v>
      </c>
      <c r="BP108" s="2">
        <v>157</v>
      </c>
      <c r="BQ108" s="2">
        <v>149</v>
      </c>
      <c r="BR108" s="2">
        <v>117</v>
      </c>
      <c r="BS108" s="2">
        <v>161</v>
      </c>
      <c r="BT108" s="2">
        <v>162</v>
      </c>
      <c r="BU108" s="2">
        <v>241</v>
      </c>
      <c r="BV108" s="2">
        <v>225</v>
      </c>
      <c r="BW108" s="2">
        <v>170</v>
      </c>
      <c r="BX108" s="2">
        <v>166</v>
      </c>
    </row>
    <row r="109" spans="63:76" x14ac:dyDescent="0.35">
      <c r="BK109" s="19" t="s">
        <v>152</v>
      </c>
      <c r="BL109" s="2">
        <v>25</v>
      </c>
      <c r="BM109" s="2">
        <v>15</v>
      </c>
      <c r="BN109" s="2">
        <v>8</v>
      </c>
      <c r="BO109" s="2">
        <v>5</v>
      </c>
      <c r="BP109" s="2">
        <v>11</v>
      </c>
      <c r="BQ109" s="2">
        <v>1</v>
      </c>
      <c r="BR109" s="2">
        <v>23</v>
      </c>
      <c r="BS109" s="2">
        <v>2</v>
      </c>
      <c r="BT109" s="2">
        <v>21</v>
      </c>
      <c r="BU109" s="2">
        <v>22</v>
      </c>
      <c r="BV109" s="2">
        <v>8</v>
      </c>
      <c r="BW109" s="2">
        <v>1</v>
      </c>
      <c r="BX109" s="2">
        <v>8</v>
      </c>
    </row>
    <row r="110" spans="63:76" x14ac:dyDescent="0.35">
      <c r="BK110" s="19" t="s">
        <v>153</v>
      </c>
      <c r="BL110" s="2">
        <v>1</v>
      </c>
      <c r="BM110" s="2">
        <v>2</v>
      </c>
      <c r="BN110" s="2">
        <v>3</v>
      </c>
      <c r="BO110" s="2">
        <v>1</v>
      </c>
      <c r="BP110" s="2">
        <v>3</v>
      </c>
      <c r="BQ110" s="2">
        <v>1</v>
      </c>
      <c r="BR110" s="2">
        <v>1</v>
      </c>
      <c r="BS110" s="2">
        <v>5</v>
      </c>
      <c r="BT110" s="2">
        <v>2</v>
      </c>
      <c r="BU110" s="2">
        <v>0</v>
      </c>
      <c r="BV110" s="2">
        <v>0</v>
      </c>
      <c r="BW110" s="2">
        <v>0</v>
      </c>
      <c r="BX110" s="2">
        <v>4</v>
      </c>
    </row>
    <row r="111" spans="63:76" x14ac:dyDescent="0.35">
      <c r="BK111" s="19" t="s">
        <v>154</v>
      </c>
      <c r="BL111" s="2">
        <v>322</v>
      </c>
      <c r="BM111" s="2">
        <v>472</v>
      </c>
      <c r="BN111" s="2">
        <v>323</v>
      </c>
      <c r="BO111" s="2">
        <v>137</v>
      </c>
      <c r="BP111" s="2">
        <v>404</v>
      </c>
      <c r="BQ111" s="2">
        <v>418</v>
      </c>
      <c r="BR111" s="2">
        <v>356</v>
      </c>
      <c r="BS111" s="2">
        <v>287</v>
      </c>
      <c r="BT111" s="2">
        <v>366</v>
      </c>
      <c r="BU111" s="2">
        <v>375</v>
      </c>
      <c r="BV111" s="2">
        <v>346</v>
      </c>
      <c r="BW111" s="2">
        <v>376</v>
      </c>
      <c r="BX111" s="2">
        <v>437</v>
      </c>
    </row>
    <row r="112" spans="63:76" x14ac:dyDescent="0.35">
      <c r="BK112" s="19" t="s">
        <v>287</v>
      </c>
      <c r="BL112" s="2">
        <v>353</v>
      </c>
      <c r="BM112" s="2">
        <v>281</v>
      </c>
      <c r="BN112" s="2">
        <v>255</v>
      </c>
      <c r="BO112" s="2">
        <v>186</v>
      </c>
      <c r="BP112" s="2">
        <v>326</v>
      </c>
      <c r="BQ112" s="2">
        <v>287</v>
      </c>
      <c r="BR112" s="2">
        <v>246</v>
      </c>
      <c r="BS112" s="2">
        <v>296</v>
      </c>
      <c r="BT112" s="2">
        <v>320</v>
      </c>
      <c r="BU112" s="2">
        <v>302</v>
      </c>
      <c r="BV112" s="2">
        <v>331</v>
      </c>
      <c r="BW112" s="2">
        <v>315</v>
      </c>
      <c r="BX112" s="2">
        <v>253</v>
      </c>
    </row>
    <row r="113" spans="63:76" x14ac:dyDescent="0.35">
      <c r="BK113" s="19" t="s">
        <v>155</v>
      </c>
      <c r="BL113" s="2">
        <v>35</v>
      </c>
      <c r="BM113" s="2">
        <v>21</v>
      </c>
      <c r="BN113" s="2">
        <v>79</v>
      </c>
      <c r="BO113" s="2">
        <v>21</v>
      </c>
      <c r="BP113" s="2">
        <v>50</v>
      </c>
      <c r="BQ113" s="2">
        <v>90</v>
      </c>
      <c r="BR113" s="2">
        <v>40</v>
      </c>
      <c r="BS113" s="2">
        <v>74</v>
      </c>
      <c r="BT113" s="2">
        <v>38</v>
      </c>
      <c r="BU113" s="2">
        <v>106</v>
      </c>
      <c r="BV113" s="2">
        <v>28</v>
      </c>
      <c r="BW113" s="2">
        <v>74</v>
      </c>
      <c r="BX113" s="2">
        <v>32</v>
      </c>
    </row>
    <row r="114" spans="63:76" x14ac:dyDescent="0.35">
      <c r="BK114" s="19" t="s">
        <v>292</v>
      </c>
      <c r="BL114" s="2">
        <v>50</v>
      </c>
      <c r="BM114" s="2">
        <v>41</v>
      </c>
      <c r="BN114" s="2">
        <v>32</v>
      </c>
      <c r="BO114" s="2">
        <v>19</v>
      </c>
      <c r="BP114" s="2">
        <v>56</v>
      </c>
      <c r="BQ114" s="2">
        <v>51</v>
      </c>
      <c r="BR114" s="2">
        <v>151</v>
      </c>
      <c r="BS114" s="2">
        <v>118</v>
      </c>
      <c r="BT114" s="2">
        <v>142</v>
      </c>
      <c r="BU114" s="2">
        <v>171</v>
      </c>
      <c r="BV114" s="2">
        <v>148</v>
      </c>
      <c r="BW114" s="2">
        <v>181</v>
      </c>
      <c r="BX114" s="2">
        <v>160</v>
      </c>
    </row>
    <row r="115" spans="63:76" x14ac:dyDescent="0.35">
      <c r="BK115" s="19" t="s">
        <v>219</v>
      </c>
      <c r="BL115" s="2">
        <v>60</v>
      </c>
      <c r="BM115" s="2">
        <v>82</v>
      </c>
      <c r="BN115" s="2">
        <v>38</v>
      </c>
      <c r="BO115" s="2">
        <v>27</v>
      </c>
      <c r="BP115" s="2">
        <v>72</v>
      </c>
      <c r="BQ115" s="2">
        <v>51</v>
      </c>
      <c r="BR115" s="2">
        <v>13</v>
      </c>
      <c r="BS115" s="2">
        <v>60</v>
      </c>
      <c r="BT115" s="2">
        <v>79</v>
      </c>
      <c r="BU115" s="2">
        <v>71</v>
      </c>
      <c r="BV115" s="2">
        <v>54</v>
      </c>
      <c r="BW115" s="2">
        <v>29</v>
      </c>
      <c r="BX115" s="2">
        <v>22</v>
      </c>
    </row>
    <row r="116" spans="63:76" x14ac:dyDescent="0.35">
      <c r="BK116" s="19" t="s">
        <v>156</v>
      </c>
      <c r="BL116" s="2">
        <v>317</v>
      </c>
      <c r="BM116" s="2">
        <v>266</v>
      </c>
      <c r="BN116" s="2">
        <v>215</v>
      </c>
      <c r="BO116" s="2">
        <v>54</v>
      </c>
      <c r="BP116" s="2">
        <v>303</v>
      </c>
      <c r="BQ116" s="2">
        <v>221</v>
      </c>
      <c r="BR116" s="2">
        <v>166</v>
      </c>
      <c r="BS116" s="2">
        <v>312</v>
      </c>
      <c r="BT116" s="2">
        <v>268</v>
      </c>
      <c r="BU116" s="2">
        <v>339</v>
      </c>
      <c r="BV116" s="2">
        <v>163</v>
      </c>
      <c r="BW116" s="2">
        <v>236</v>
      </c>
      <c r="BX116" s="2">
        <v>210</v>
      </c>
    </row>
    <row r="117" spans="63:76" x14ac:dyDescent="0.35">
      <c r="BK117" s="19" t="s">
        <v>157</v>
      </c>
      <c r="BL117" s="2">
        <v>53</v>
      </c>
      <c r="BM117" s="2">
        <v>34</v>
      </c>
      <c r="BN117" s="2">
        <v>10</v>
      </c>
      <c r="BO117" s="2">
        <v>7</v>
      </c>
      <c r="BP117" s="2">
        <v>65</v>
      </c>
      <c r="BQ117" s="2">
        <v>24</v>
      </c>
      <c r="BR117" s="2">
        <v>24</v>
      </c>
      <c r="BS117" s="2">
        <v>23</v>
      </c>
      <c r="BT117" s="2">
        <v>19</v>
      </c>
      <c r="BU117" s="2">
        <v>22</v>
      </c>
      <c r="BV117" s="2">
        <v>16</v>
      </c>
      <c r="BW117" s="2">
        <v>40</v>
      </c>
      <c r="BX117" s="2">
        <v>33</v>
      </c>
    </row>
    <row r="118" spans="63:76" x14ac:dyDescent="0.35">
      <c r="BK118" s="19" t="s">
        <v>158</v>
      </c>
      <c r="BL118" s="2">
        <v>276</v>
      </c>
      <c r="BM118" s="2">
        <v>320</v>
      </c>
      <c r="BN118" s="2">
        <v>184</v>
      </c>
      <c r="BO118" s="2">
        <v>12</v>
      </c>
      <c r="BP118" s="2">
        <v>203</v>
      </c>
      <c r="BQ118" s="2">
        <v>313</v>
      </c>
      <c r="BR118" s="2">
        <v>258</v>
      </c>
      <c r="BS118" s="2">
        <v>170</v>
      </c>
      <c r="BT118" s="2">
        <v>236</v>
      </c>
      <c r="BU118" s="2">
        <v>244</v>
      </c>
      <c r="BV118" s="2">
        <v>258</v>
      </c>
      <c r="BW118" s="2">
        <v>209</v>
      </c>
      <c r="BX118" s="2">
        <v>231</v>
      </c>
    </row>
    <row r="119" spans="63:76" x14ac:dyDescent="0.35">
      <c r="BK119" s="19" t="s">
        <v>216</v>
      </c>
      <c r="BL119" s="2">
        <v>215</v>
      </c>
      <c r="BM119" s="2">
        <v>211</v>
      </c>
      <c r="BN119" s="2">
        <v>193</v>
      </c>
      <c r="BO119" s="2">
        <v>107</v>
      </c>
      <c r="BP119" s="2">
        <v>258</v>
      </c>
      <c r="BQ119" s="2">
        <v>225</v>
      </c>
      <c r="BR119" s="2">
        <v>229</v>
      </c>
      <c r="BS119" s="2">
        <v>217</v>
      </c>
      <c r="BT119" s="2">
        <v>252</v>
      </c>
      <c r="BU119" s="2">
        <v>211</v>
      </c>
      <c r="BV119" s="2">
        <v>178</v>
      </c>
      <c r="BW119" s="2">
        <v>240</v>
      </c>
      <c r="BX119" s="2">
        <v>267</v>
      </c>
    </row>
    <row r="120" spans="63:76" x14ac:dyDescent="0.35">
      <c r="BK120" s="19" t="s">
        <v>337</v>
      </c>
      <c r="BL120" s="2">
        <v>137</v>
      </c>
      <c r="BM120" s="2">
        <v>76</v>
      </c>
      <c r="BN120" s="2">
        <v>62</v>
      </c>
      <c r="BO120" s="2">
        <v>24</v>
      </c>
      <c r="BP120" s="2">
        <v>84</v>
      </c>
      <c r="BQ120" s="2">
        <v>138</v>
      </c>
      <c r="BR120" s="2">
        <v>46</v>
      </c>
      <c r="BS120" s="2">
        <v>61</v>
      </c>
      <c r="BT120" s="2">
        <v>67</v>
      </c>
      <c r="BU120" s="2">
        <v>53</v>
      </c>
      <c r="BV120" s="2">
        <v>102</v>
      </c>
      <c r="BW120" s="2">
        <v>116</v>
      </c>
      <c r="BX120" s="2">
        <v>138</v>
      </c>
    </row>
    <row r="121" spans="63:76" x14ac:dyDescent="0.35">
      <c r="BK121" s="19" t="s">
        <v>159</v>
      </c>
      <c r="BL121" s="2">
        <v>3</v>
      </c>
      <c r="BM121" s="2">
        <v>4</v>
      </c>
      <c r="BN121" s="2">
        <v>3</v>
      </c>
      <c r="BO121" s="2">
        <v>1</v>
      </c>
      <c r="BP121" s="2">
        <v>3</v>
      </c>
      <c r="BQ121" s="2">
        <v>5</v>
      </c>
      <c r="BR121" s="2">
        <v>0</v>
      </c>
      <c r="BS121" s="2">
        <v>1</v>
      </c>
      <c r="BT121" s="2">
        <v>1</v>
      </c>
      <c r="BU121" s="2">
        <v>0</v>
      </c>
      <c r="BV121" s="2">
        <v>1</v>
      </c>
      <c r="BW121" s="2">
        <v>5</v>
      </c>
      <c r="BX121" s="2">
        <v>8</v>
      </c>
    </row>
    <row r="122" spans="63:76" x14ac:dyDescent="0.35">
      <c r="BK122" s="19" t="s">
        <v>290</v>
      </c>
      <c r="BL122" s="2">
        <v>16</v>
      </c>
      <c r="BM122" s="2">
        <v>9</v>
      </c>
      <c r="BN122" s="2">
        <v>8</v>
      </c>
      <c r="BO122" s="2">
        <v>1</v>
      </c>
      <c r="BP122" s="2">
        <v>1</v>
      </c>
      <c r="BQ122" s="2">
        <v>2</v>
      </c>
      <c r="BR122" s="2">
        <v>7</v>
      </c>
      <c r="BS122" s="2">
        <v>1</v>
      </c>
      <c r="BT122" s="2">
        <v>12</v>
      </c>
      <c r="BU122" s="2">
        <v>18</v>
      </c>
      <c r="BV122" s="2">
        <v>15</v>
      </c>
      <c r="BW122" s="2">
        <v>0</v>
      </c>
      <c r="BX122" s="2">
        <v>8</v>
      </c>
    </row>
    <row r="123" spans="63:76" x14ac:dyDescent="0.35">
      <c r="BK123" s="19" t="s">
        <v>160</v>
      </c>
      <c r="BL123" s="2">
        <v>35</v>
      </c>
      <c r="BM123" s="2">
        <v>37</v>
      </c>
      <c r="BN123" s="2">
        <v>44</v>
      </c>
      <c r="BO123" s="2">
        <v>38</v>
      </c>
      <c r="BP123" s="2">
        <v>52</v>
      </c>
      <c r="BQ123" s="2">
        <v>29</v>
      </c>
      <c r="BR123" s="2">
        <v>34</v>
      </c>
      <c r="BS123" s="2">
        <v>27</v>
      </c>
      <c r="BT123" s="2">
        <v>37</v>
      </c>
      <c r="BU123" s="2">
        <v>36</v>
      </c>
      <c r="BV123" s="2">
        <v>26</v>
      </c>
      <c r="BW123" s="2">
        <v>21</v>
      </c>
      <c r="BX123" s="2">
        <v>38</v>
      </c>
    </row>
    <row r="124" spans="63:76" x14ac:dyDescent="0.35">
      <c r="BK124" s="19" t="s">
        <v>161</v>
      </c>
      <c r="BL124" s="2">
        <v>0</v>
      </c>
      <c r="BM124" s="2">
        <v>11</v>
      </c>
      <c r="BN124" s="2">
        <v>6</v>
      </c>
      <c r="BO124" s="2">
        <v>5</v>
      </c>
      <c r="BP124" s="2">
        <v>30</v>
      </c>
      <c r="BQ124" s="2">
        <v>25</v>
      </c>
      <c r="BR124" s="2">
        <v>11</v>
      </c>
      <c r="BS124" s="2">
        <v>8</v>
      </c>
      <c r="BT124" s="2">
        <v>8</v>
      </c>
      <c r="BU124" s="2">
        <v>11</v>
      </c>
      <c r="BV124" s="2">
        <v>2</v>
      </c>
      <c r="BW124" s="2">
        <v>8</v>
      </c>
      <c r="BX124" s="2">
        <v>15</v>
      </c>
    </row>
    <row r="125" spans="63:76" x14ac:dyDescent="0.35">
      <c r="BK125" s="19" t="s">
        <v>162</v>
      </c>
      <c r="BL125" s="2">
        <v>6</v>
      </c>
      <c r="BM125" s="2">
        <v>8</v>
      </c>
      <c r="BN125" s="2">
        <v>12</v>
      </c>
      <c r="BO125" s="2">
        <v>0</v>
      </c>
      <c r="BP125" s="2">
        <v>17</v>
      </c>
      <c r="BQ125" s="2">
        <v>13</v>
      </c>
      <c r="BR125" s="2">
        <v>0</v>
      </c>
      <c r="BS125" s="2">
        <v>0</v>
      </c>
      <c r="BT125" s="2">
        <v>0</v>
      </c>
      <c r="BU125" s="2">
        <v>1</v>
      </c>
      <c r="BV125" s="2">
        <v>0</v>
      </c>
      <c r="BW125" s="2">
        <v>0</v>
      </c>
      <c r="BX125" s="2">
        <v>0</v>
      </c>
    </row>
    <row r="126" spans="63:76" x14ac:dyDescent="0.35">
      <c r="BK126" s="19" t="s">
        <v>163</v>
      </c>
      <c r="BL126" s="2">
        <v>72</v>
      </c>
      <c r="BM126" s="2">
        <v>21</v>
      </c>
      <c r="BN126" s="2">
        <v>9</v>
      </c>
      <c r="BO126" s="2">
        <v>23</v>
      </c>
      <c r="BP126" s="2">
        <v>46</v>
      </c>
      <c r="BQ126" s="2">
        <v>47</v>
      </c>
      <c r="BR126" s="2">
        <v>27</v>
      </c>
      <c r="BS126" s="2">
        <v>23</v>
      </c>
      <c r="BT126" s="2">
        <v>25</v>
      </c>
      <c r="BU126" s="2">
        <v>12</v>
      </c>
      <c r="BV126" s="2">
        <v>2</v>
      </c>
      <c r="BW126" s="2">
        <v>21</v>
      </c>
      <c r="BX126" s="2">
        <v>44</v>
      </c>
    </row>
    <row r="127" spans="63:76" x14ac:dyDescent="0.35">
      <c r="BK127" s="19" t="s">
        <v>164</v>
      </c>
      <c r="BL127" s="2">
        <v>209</v>
      </c>
      <c r="BM127" s="2">
        <v>232</v>
      </c>
      <c r="BN127" s="2">
        <v>229</v>
      </c>
      <c r="BO127" s="2">
        <v>53</v>
      </c>
      <c r="BP127" s="2">
        <v>223</v>
      </c>
      <c r="BQ127" s="2">
        <v>270</v>
      </c>
      <c r="BR127" s="2">
        <v>209</v>
      </c>
      <c r="BS127" s="2">
        <v>183</v>
      </c>
      <c r="BT127" s="2">
        <v>167</v>
      </c>
      <c r="BU127" s="2">
        <v>202</v>
      </c>
      <c r="BV127" s="2">
        <v>157</v>
      </c>
      <c r="BW127" s="2">
        <v>257</v>
      </c>
      <c r="BX127" s="2">
        <v>220</v>
      </c>
    </row>
    <row r="128" spans="63:76" x14ac:dyDescent="0.35">
      <c r="BK128" s="19" t="s">
        <v>165</v>
      </c>
      <c r="BL128" s="2">
        <v>58</v>
      </c>
      <c r="BM128" s="2">
        <v>105</v>
      </c>
      <c r="BN128" s="2">
        <v>66</v>
      </c>
      <c r="BO128" s="2">
        <v>15</v>
      </c>
      <c r="BP128" s="2">
        <v>70</v>
      </c>
      <c r="BQ128" s="2">
        <v>57</v>
      </c>
      <c r="BR128" s="2">
        <v>41</v>
      </c>
      <c r="BS128" s="2">
        <v>67</v>
      </c>
      <c r="BT128" s="2">
        <v>49</v>
      </c>
      <c r="BU128" s="2">
        <v>15</v>
      </c>
      <c r="BV128" s="2">
        <v>9</v>
      </c>
      <c r="BW128" s="2">
        <v>23</v>
      </c>
      <c r="BX128" s="2">
        <v>8</v>
      </c>
    </row>
    <row r="129" spans="63:77" x14ac:dyDescent="0.35">
      <c r="BK129" s="19" t="s">
        <v>166</v>
      </c>
      <c r="BL129" s="2">
        <v>64</v>
      </c>
      <c r="BM129" s="2">
        <v>48</v>
      </c>
      <c r="BN129" s="2">
        <v>27</v>
      </c>
      <c r="BO129" s="2">
        <v>5</v>
      </c>
      <c r="BP129" s="2">
        <v>22</v>
      </c>
      <c r="BQ129" s="2">
        <v>45</v>
      </c>
      <c r="BR129" s="2">
        <v>11</v>
      </c>
      <c r="BS129" s="2">
        <v>13</v>
      </c>
      <c r="BT129" s="2">
        <v>54</v>
      </c>
      <c r="BU129" s="2">
        <v>28</v>
      </c>
      <c r="BV129" s="2">
        <v>13</v>
      </c>
      <c r="BW129" s="2">
        <v>40</v>
      </c>
      <c r="BX129" s="2">
        <v>43</v>
      </c>
    </row>
    <row r="130" spans="63:77" x14ac:dyDescent="0.35">
      <c r="BK130" s="19" t="s">
        <v>167</v>
      </c>
      <c r="BL130" s="2">
        <v>5</v>
      </c>
      <c r="BM130" s="2">
        <v>4</v>
      </c>
      <c r="BN130" s="2">
        <v>2</v>
      </c>
      <c r="BO130" s="2">
        <v>0</v>
      </c>
      <c r="BP130" s="2">
        <v>2</v>
      </c>
      <c r="BQ130" s="2">
        <v>3</v>
      </c>
      <c r="BR130" s="2">
        <v>6</v>
      </c>
      <c r="BS130" s="2">
        <v>3</v>
      </c>
      <c r="BT130" s="2">
        <v>4</v>
      </c>
      <c r="BU130" s="2">
        <v>4</v>
      </c>
      <c r="BV130" s="2">
        <v>2</v>
      </c>
      <c r="BW130" s="2">
        <v>6</v>
      </c>
      <c r="BX130" s="2">
        <v>2</v>
      </c>
    </row>
    <row r="131" spans="63:77" x14ac:dyDescent="0.35">
      <c r="BK131" s="19" t="s">
        <v>338</v>
      </c>
      <c r="BL131" s="2">
        <v>233</v>
      </c>
      <c r="BM131" s="2">
        <v>132</v>
      </c>
      <c r="BN131" s="2">
        <v>97</v>
      </c>
      <c r="BO131" s="2">
        <v>68</v>
      </c>
      <c r="BP131" s="2">
        <v>144</v>
      </c>
      <c r="BQ131" s="2">
        <v>145</v>
      </c>
      <c r="BR131" s="2">
        <v>71</v>
      </c>
      <c r="BS131" s="2">
        <v>73</v>
      </c>
      <c r="BT131" s="2">
        <v>85</v>
      </c>
      <c r="BU131" s="2">
        <v>174</v>
      </c>
      <c r="BV131" s="2">
        <v>85</v>
      </c>
      <c r="BW131" s="2">
        <v>186</v>
      </c>
      <c r="BX131" s="2">
        <v>140</v>
      </c>
    </row>
    <row r="142" spans="63:77" x14ac:dyDescent="0.35">
      <c r="BL142" s="27" t="s">
        <v>42</v>
      </c>
      <c r="BM142" s="27" t="s">
        <v>43</v>
      </c>
      <c r="BN142" s="27" t="s">
        <v>44</v>
      </c>
      <c r="BO142" s="27" t="s">
        <v>45</v>
      </c>
      <c r="BP142" s="27" t="s">
        <v>46</v>
      </c>
      <c r="BQ142" s="27" t="s">
        <v>47</v>
      </c>
      <c r="BR142" s="27" t="s">
        <v>48</v>
      </c>
      <c r="BS142" s="27" t="s">
        <v>49</v>
      </c>
      <c r="BT142" s="27" t="s">
        <v>50</v>
      </c>
      <c r="BU142" s="27" t="s">
        <v>51</v>
      </c>
      <c r="BV142" s="27" t="s">
        <v>52</v>
      </c>
      <c r="BW142" s="27" t="s">
        <v>53</v>
      </c>
      <c r="BX142" s="27" t="s">
        <v>54</v>
      </c>
      <c r="BY142" s="27" t="s">
        <v>55</v>
      </c>
    </row>
    <row r="143" spans="63:77" x14ac:dyDescent="0.35">
      <c r="BL143">
        <f>IF(COUNTIF(BL7:BL140,"&gt;0")=0,"",COUNTIF(BL7:BL140,"&gt;0"))</f>
        <v>114</v>
      </c>
      <c r="BM143">
        <f t="shared" ref="BM143:BQ143" si="24">IF(COUNTIF(BM7:BM140,"&gt;0")=0,"",COUNTIF(BM7:BM140,"&gt;0"))</f>
        <v>113</v>
      </c>
      <c r="BN143">
        <f t="shared" si="24"/>
        <v>112</v>
      </c>
      <c r="BO143">
        <f t="shared" si="24"/>
        <v>106</v>
      </c>
      <c r="BP143">
        <f t="shared" si="24"/>
        <v>114</v>
      </c>
      <c r="BQ143">
        <f t="shared" si="24"/>
        <v>112</v>
      </c>
      <c r="BR143">
        <f t="shared" ref="BR143:BY143" si="25">IF(COUNTIF(BR7:BR140,"&gt;0")=0,"",COUNTIF(BR7:BR140,"&gt;0"))</f>
        <v>109</v>
      </c>
      <c r="BS143">
        <f t="shared" si="25"/>
        <v>108</v>
      </c>
      <c r="BT143">
        <f>IF(COUNTIF(BT7:BT140,"&gt;0")=0,"",COUNTIF(BT7:BT140,"&gt;0"))</f>
        <v>110</v>
      </c>
      <c r="BU143">
        <f t="shared" si="25"/>
        <v>112</v>
      </c>
      <c r="BV143">
        <f t="shared" si="25"/>
        <v>109</v>
      </c>
      <c r="BW143">
        <f t="shared" si="25"/>
        <v>110</v>
      </c>
      <c r="BX143">
        <f t="shared" si="25"/>
        <v>112</v>
      </c>
      <c r="BY143" t="str">
        <f t="shared" si="25"/>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677F5-F613-4FAC-8F0F-E722C75E9D99}">
  <dimension ref="A1:U23"/>
  <sheetViews>
    <sheetView zoomScale="85" zoomScaleNormal="85" workbookViewId="0">
      <selection activeCell="D36" sqref="D36"/>
    </sheetView>
  </sheetViews>
  <sheetFormatPr defaultRowHeight="14.5" x14ac:dyDescent="0.35"/>
  <cols>
    <col min="1" max="1" width="11.90625" bestFit="1" customWidth="1"/>
    <col min="2" max="2" width="11.90625" customWidth="1"/>
    <col min="3" max="3" width="11" bestFit="1" customWidth="1"/>
    <col min="4" max="4" width="16.90625" bestFit="1" customWidth="1"/>
    <col min="5" max="5" width="8.54296875" bestFit="1" customWidth="1"/>
    <col min="6" max="6" width="10.08984375" bestFit="1" customWidth="1"/>
    <col min="7" max="7" width="27" bestFit="1" customWidth="1"/>
    <col min="8" max="8" width="12.6328125" bestFit="1" customWidth="1"/>
    <col min="9" max="9" width="11.90625" bestFit="1" customWidth="1"/>
    <col min="10" max="10" width="12.7265625" bestFit="1" customWidth="1"/>
    <col min="13" max="13" width="12.81640625" bestFit="1" customWidth="1"/>
    <col min="14" max="14" width="18.54296875" bestFit="1" customWidth="1"/>
    <col min="15" max="15" width="23.26953125" bestFit="1" customWidth="1"/>
    <col min="16" max="16" width="16.54296875" bestFit="1" customWidth="1"/>
    <col min="17" max="17" width="18.08984375" bestFit="1" customWidth="1"/>
    <col min="18" max="18" width="31.54296875" bestFit="1" customWidth="1"/>
    <col min="19" max="19" width="20.08984375" bestFit="1" customWidth="1"/>
    <col min="20" max="20" width="19.26953125" bestFit="1" customWidth="1"/>
    <col min="21" max="21" width="20.08984375" bestFit="1" customWidth="1"/>
  </cols>
  <sheetData>
    <row r="1" spans="1:21" x14ac:dyDescent="0.35">
      <c r="A1" s="142" t="s">
        <v>312</v>
      </c>
      <c r="B1" s="142" t="s">
        <v>303</v>
      </c>
      <c r="C1" s="143" t="s">
        <v>302</v>
      </c>
      <c r="D1" s="144" t="s">
        <v>248</v>
      </c>
      <c r="E1" s="145" t="s">
        <v>1</v>
      </c>
      <c r="F1" s="145" t="s">
        <v>220</v>
      </c>
      <c r="G1" s="145" t="s">
        <v>253</v>
      </c>
      <c r="H1" s="145" t="s">
        <v>250</v>
      </c>
      <c r="I1" s="145" t="s">
        <v>217</v>
      </c>
      <c r="J1" s="146" t="s">
        <v>218</v>
      </c>
    </row>
    <row r="2" spans="1:21" x14ac:dyDescent="0.35">
      <c r="A2" s="137">
        <v>44529</v>
      </c>
      <c r="B2" s="147" t="s">
        <v>42</v>
      </c>
      <c r="C2" s="162">
        <v>6094</v>
      </c>
      <c r="D2" s="139">
        <v>588</v>
      </c>
      <c r="E2" s="140">
        <v>1099</v>
      </c>
      <c r="F2" s="140">
        <v>1158</v>
      </c>
      <c r="G2" s="140">
        <v>1059</v>
      </c>
      <c r="H2" s="140">
        <v>834</v>
      </c>
      <c r="I2" s="140">
        <v>782</v>
      </c>
      <c r="J2" s="141">
        <v>574</v>
      </c>
      <c r="M2" s="18" t="s">
        <v>37</v>
      </c>
      <c r="N2" t="s">
        <v>304</v>
      </c>
      <c r="O2" t="s">
        <v>305</v>
      </c>
      <c r="P2" t="s">
        <v>306</v>
      </c>
      <c r="Q2" t="s">
        <v>311</v>
      </c>
      <c r="R2" t="s">
        <v>310</v>
      </c>
      <c r="S2" t="s">
        <v>309</v>
      </c>
      <c r="T2" t="s">
        <v>308</v>
      </c>
      <c r="U2" t="s">
        <v>307</v>
      </c>
    </row>
    <row r="3" spans="1:21" x14ac:dyDescent="0.35">
      <c r="A3" s="137">
        <v>44530</v>
      </c>
      <c r="B3" s="147" t="s">
        <v>42</v>
      </c>
      <c r="C3" s="162">
        <v>6123</v>
      </c>
      <c r="D3" s="139">
        <v>561</v>
      </c>
      <c r="E3" s="140">
        <v>1095</v>
      </c>
      <c r="F3" s="140">
        <v>1196</v>
      </c>
      <c r="G3" s="140">
        <v>1091</v>
      </c>
      <c r="H3" s="140">
        <v>838</v>
      </c>
      <c r="I3" s="140">
        <v>764</v>
      </c>
      <c r="J3" s="141">
        <v>578</v>
      </c>
      <c r="M3" s="19" t="s">
        <v>42</v>
      </c>
      <c r="N3" s="26">
        <v>5928.4285714285716</v>
      </c>
      <c r="O3" s="26">
        <v>543.57142857142856</v>
      </c>
      <c r="P3" s="26">
        <v>1080.5714285714287</v>
      </c>
      <c r="Q3" s="26">
        <v>1148</v>
      </c>
      <c r="R3" s="26">
        <v>990.42857142857144</v>
      </c>
      <c r="S3" s="26">
        <v>804.42857142857144</v>
      </c>
      <c r="T3" s="26">
        <v>802.28571428571433</v>
      </c>
      <c r="U3" s="26">
        <v>559.14285714285711</v>
      </c>
    </row>
    <row r="4" spans="1:21" x14ac:dyDescent="0.35">
      <c r="A4" s="137">
        <v>44531</v>
      </c>
      <c r="B4" s="147" t="s">
        <v>42</v>
      </c>
      <c r="C4" s="162">
        <v>5829</v>
      </c>
      <c r="D4" s="139">
        <v>558</v>
      </c>
      <c r="E4" s="140">
        <v>1074</v>
      </c>
      <c r="F4" s="140">
        <v>1092</v>
      </c>
      <c r="G4" s="140">
        <v>969</v>
      </c>
      <c r="H4" s="140">
        <v>802</v>
      </c>
      <c r="I4" s="140">
        <v>770</v>
      </c>
      <c r="J4" s="141">
        <v>564</v>
      </c>
      <c r="M4" s="19" t="s">
        <v>38</v>
      </c>
      <c r="N4" s="26">
        <v>5928.4285714285716</v>
      </c>
      <c r="O4" s="26">
        <v>543.57142857142856</v>
      </c>
      <c r="P4" s="26">
        <v>1080.5714285714287</v>
      </c>
      <c r="Q4" s="26">
        <v>1148</v>
      </c>
      <c r="R4" s="26">
        <v>990.42857142857144</v>
      </c>
      <c r="S4" s="26">
        <v>804.42857142857144</v>
      </c>
      <c r="T4" s="26">
        <v>802.28571428571433</v>
      </c>
      <c r="U4" s="26">
        <v>559.14285714285711</v>
      </c>
    </row>
    <row r="5" spans="1:21" x14ac:dyDescent="0.35">
      <c r="A5" s="137">
        <v>44532</v>
      </c>
      <c r="B5" s="147" t="s">
        <v>42</v>
      </c>
      <c r="C5" s="162">
        <v>5915</v>
      </c>
      <c r="D5" s="139">
        <v>531</v>
      </c>
      <c r="E5" s="140">
        <v>1083</v>
      </c>
      <c r="F5" s="140">
        <v>1140</v>
      </c>
      <c r="G5" s="140">
        <v>1001</v>
      </c>
      <c r="H5" s="140">
        <v>797</v>
      </c>
      <c r="I5" s="140">
        <v>801</v>
      </c>
      <c r="J5" s="141">
        <v>562</v>
      </c>
    </row>
    <row r="6" spans="1:21" x14ac:dyDescent="0.35">
      <c r="A6" s="137">
        <v>44533</v>
      </c>
      <c r="B6" s="147" t="s">
        <v>42</v>
      </c>
      <c r="C6" s="162">
        <v>5851</v>
      </c>
      <c r="D6" s="139">
        <v>527</v>
      </c>
      <c r="E6" s="140">
        <v>1069</v>
      </c>
      <c r="F6" s="140">
        <v>1158</v>
      </c>
      <c r="G6" s="140">
        <v>947</v>
      </c>
      <c r="H6" s="140">
        <v>784</v>
      </c>
      <c r="I6" s="140">
        <v>815</v>
      </c>
      <c r="J6" s="141">
        <v>551</v>
      </c>
    </row>
    <row r="7" spans="1:21" x14ac:dyDescent="0.35">
      <c r="A7" s="137">
        <v>44534</v>
      </c>
      <c r="B7" s="147" t="s">
        <v>42</v>
      </c>
      <c r="C7" s="162">
        <v>5784</v>
      </c>
      <c r="D7" s="139">
        <v>516</v>
      </c>
      <c r="E7" s="140">
        <v>1057</v>
      </c>
      <c r="F7" s="140">
        <v>1137</v>
      </c>
      <c r="G7" s="140">
        <v>933</v>
      </c>
      <c r="H7" s="140">
        <v>764</v>
      </c>
      <c r="I7" s="140">
        <v>834</v>
      </c>
      <c r="J7" s="141">
        <v>543</v>
      </c>
    </row>
    <row r="8" spans="1:21" x14ac:dyDescent="0.35">
      <c r="A8" s="137">
        <v>44535</v>
      </c>
      <c r="B8" s="147" t="s">
        <v>42</v>
      </c>
      <c r="C8" s="162">
        <v>5903</v>
      </c>
      <c r="D8" s="139">
        <v>524</v>
      </c>
      <c r="E8" s="140">
        <v>1087</v>
      </c>
      <c r="F8" s="140">
        <v>1155</v>
      </c>
      <c r="G8" s="140">
        <v>933</v>
      </c>
      <c r="H8" s="140">
        <v>812</v>
      </c>
      <c r="I8" s="140">
        <v>850</v>
      </c>
      <c r="J8" s="141">
        <v>542</v>
      </c>
    </row>
    <row r="9" spans="1:21" x14ac:dyDescent="0.35">
      <c r="A9" s="137"/>
      <c r="B9" s="147"/>
      <c r="C9" s="138"/>
      <c r="D9" s="139"/>
      <c r="E9" s="140"/>
      <c r="F9" s="140"/>
      <c r="G9" s="140"/>
      <c r="H9" s="140"/>
      <c r="I9" s="140"/>
      <c r="J9" s="141"/>
      <c r="M9" s="148"/>
    </row>
    <row r="10" spans="1:21" x14ac:dyDescent="0.35">
      <c r="A10" s="137"/>
      <c r="B10" s="147"/>
      <c r="C10" s="138"/>
      <c r="D10" s="139"/>
      <c r="E10" s="140"/>
      <c r="F10" s="140"/>
      <c r="G10" s="140"/>
      <c r="H10" s="140"/>
      <c r="I10" s="140"/>
      <c r="J10" s="141"/>
      <c r="M10" s="148"/>
    </row>
    <row r="11" spans="1:21" x14ac:dyDescent="0.35">
      <c r="A11" s="137"/>
      <c r="B11" s="147"/>
      <c r="C11" s="138"/>
      <c r="D11" s="139"/>
      <c r="E11" s="140"/>
      <c r="F11" s="140"/>
      <c r="G11" s="140"/>
      <c r="H11" s="140"/>
      <c r="I11" s="140"/>
      <c r="J11" s="141"/>
      <c r="M11" s="148"/>
    </row>
    <row r="12" spans="1:21" x14ac:dyDescent="0.35">
      <c r="A12" s="137"/>
      <c r="B12" s="147"/>
      <c r="C12" s="138"/>
      <c r="D12" s="139"/>
      <c r="E12" s="140"/>
      <c r="F12" s="140"/>
      <c r="G12" s="140"/>
      <c r="H12" s="140"/>
      <c r="I12" s="140"/>
      <c r="J12" s="141"/>
      <c r="M12" s="148"/>
    </row>
    <row r="13" spans="1:21" x14ac:dyDescent="0.35">
      <c r="A13" s="137"/>
      <c r="B13" s="147"/>
      <c r="C13" s="138"/>
      <c r="D13" s="139"/>
      <c r="E13" s="140"/>
      <c r="F13" s="140"/>
      <c r="G13" s="140"/>
      <c r="H13" s="140"/>
      <c r="I13" s="140"/>
      <c r="J13" s="141"/>
      <c r="M13" s="148"/>
    </row>
    <row r="14" spans="1:21" x14ac:dyDescent="0.35">
      <c r="A14" s="137"/>
      <c r="B14" s="147"/>
      <c r="C14" s="138"/>
      <c r="D14" s="139"/>
      <c r="E14" s="140"/>
      <c r="F14" s="140"/>
      <c r="G14" s="140"/>
      <c r="H14" s="140"/>
      <c r="I14" s="140"/>
      <c r="J14" s="141"/>
      <c r="M14" s="148"/>
    </row>
    <row r="15" spans="1:21" x14ac:dyDescent="0.35">
      <c r="A15" s="137"/>
      <c r="B15" s="147"/>
      <c r="C15" s="138"/>
      <c r="D15" s="139"/>
      <c r="E15" s="140"/>
      <c r="F15" s="140"/>
      <c r="G15" s="140"/>
      <c r="H15" s="140"/>
      <c r="I15" s="140"/>
      <c r="J15" s="141"/>
      <c r="M15" s="148"/>
    </row>
    <row r="16" spans="1:21" x14ac:dyDescent="0.35">
      <c r="A16" s="137"/>
      <c r="B16" s="147"/>
      <c r="C16" s="138"/>
      <c r="D16" s="139"/>
      <c r="E16" s="140"/>
      <c r="F16" s="140"/>
      <c r="G16" s="140"/>
      <c r="H16" s="140"/>
      <c r="I16" s="140"/>
      <c r="J16" s="141"/>
      <c r="M16" s="148"/>
    </row>
    <row r="17" spans="1:10" x14ac:dyDescent="0.35">
      <c r="A17" s="137"/>
      <c r="B17" s="147"/>
      <c r="C17" s="138"/>
      <c r="D17" s="139"/>
      <c r="E17" s="140"/>
      <c r="F17" s="140"/>
      <c r="G17" s="140"/>
      <c r="H17" s="140"/>
      <c r="I17" s="140"/>
      <c r="J17" s="141"/>
    </row>
    <row r="18" spans="1:10" x14ac:dyDescent="0.35">
      <c r="A18" s="137"/>
      <c r="B18" s="147"/>
      <c r="C18" s="138"/>
      <c r="D18" s="139"/>
      <c r="E18" s="140"/>
      <c r="F18" s="140"/>
      <c r="G18" s="140"/>
      <c r="H18" s="140"/>
      <c r="I18" s="140"/>
      <c r="J18" s="141"/>
    </row>
    <row r="19" spans="1:10" x14ac:dyDescent="0.35">
      <c r="A19" s="137"/>
      <c r="B19" s="147"/>
      <c r="C19" s="138"/>
      <c r="D19" s="139"/>
      <c r="E19" s="140"/>
      <c r="F19" s="140"/>
      <c r="G19" s="140"/>
      <c r="H19" s="140"/>
      <c r="I19" s="140"/>
      <c r="J19" s="141"/>
    </row>
    <row r="20" spans="1:10" x14ac:dyDescent="0.35">
      <c r="A20" s="137"/>
      <c r="B20" s="147"/>
      <c r="C20" s="138"/>
      <c r="D20" s="139"/>
      <c r="E20" s="140"/>
      <c r="F20" s="140"/>
      <c r="G20" s="140"/>
      <c r="H20" s="140"/>
      <c r="I20" s="140"/>
      <c r="J20" s="141"/>
    </row>
    <row r="21" spans="1:10" x14ac:dyDescent="0.35">
      <c r="A21" s="137"/>
      <c r="B21" s="147"/>
      <c r="C21" s="138"/>
      <c r="D21" s="139"/>
      <c r="E21" s="140"/>
      <c r="F21" s="140"/>
      <c r="G21" s="140"/>
      <c r="H21" s="140"/>
      <c r="I21" s="140"/>
      <c r="J21" s="141"/>
    </row>
    <row r="22" spans="1:10" x14ac:dyDescent="0.35">
      <c r="A22" s="137"/>
      <c r="B22" s="147"/>
      <c r="C22" s="138"/>
      <c r="D22" s="139"/>
      <c r="E22" s="140"/>
      <c r="F22" s="140"/>
      <c r="G22" s="140"/>
      <c r="H22" s="140"/>
      <c r="I22" s="140"/>
      <c r="J22" s="141"/>
    </row>
    <row r="23" spans="1:10" x14ac:dyDescent="0.35">
      <c r="A23" s="137"/>
      <c r="B23" s="149"/>
      <c r="C23" s="138"/>
      <c r="D23" s="139"/>
      <c r="E23" s="140"/>
      <c r="F23" s="140"/>
      <c r="G23" s="140"/>
      <c r="H23" s="140"/>
      <c r="I23" s="140"/>
      <c r="J23" s="141"/>
    </row>
  </sheetData>
  <phoneticPr fontId="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61EE5-90C8-4C38-AF9B-29A20374E358}">
  <dimension ref="C1:CE21"/>
  <sheetViews>
    <sheetView topLeftCell="AV1" zoomScale="80" zoomScaleNormal="80" workbookViewId="0">
      <selection activeCell="BM40" sqref="BM40"/>
    </sheetView>
  </sheetViews>
  <sheetFormatPr defaultRowHeight="14.5" x14ac:dyDescent="0.35"/>
  <cols>
    <col min="3" max="3" width="13.6328125" bestFit="1" customWidth="1"/>
    <col min="4" max="4" width="51" bestFit="1" customWidth="1"/>
    <col min="5" max="5" width="70.08984375" bestFit="1" customWidth="1"/>
    <col min="8" max="8" width="51" bestFit="1" customWidth="1"/>
    <col min="9" max="9" width="17.54296875" bestFit="1" customWidth="1"/>
    <col min="10" max="10" width="8.81640625" bestFit="1" customWidth="1"/>
    <col min="11" max="11" width="10.453125" bestFit="1" customWidth="1"/>
    <col min="12" max="12" width="27.81640625" bestFit="1" customWidth="1"/>
    <col min="13" max="13" width="12.90625" bestFit="1" customWidth="1"/>
    <col min="14" max="14" width="12.08984375" bestFit="1" customWidth="1"/>
    <col min="15" max="15" width="12.81640625" bestFit="1" customWidth="1"/>
    <col min="16" max="16" width="11" bestFit="1" customWidth="1"/>
    <col min="21" max="21" width="8.1796875" customWidth="1"/>
    <col min="31" max="31" width="13.6328125" bestFit="1" customWidth="1"/>
    <col min="32" max="32" width="29.54296875" bestFit="1" customWidth="1"/>
    <col min="33" max="33" width="27.08984375" bestFit="1" customWidth="1"/>
    <col min="34" max="34" width="29.54296875" bestFit="1" customWidth="1"/>
    <col min="35" max="35" width="27.08984375" bestFit="1" customWidth="1"/>
    <col min="36" max="36" width="29.54296875" bestFit="1" customWidth="1"/>
    <col min="37" max="37" width="27.08984375" bestFit="1" customWidth="1"/>
    <col min="38" max="38" width="29.54296875" bestFit="1" customWidth="1"/>
    <col min="39" max="39" width="27.08984375" bestFit="1" customWidth="1"/>
    <col min="40" max="40" width="29.54296875" bestFit="1" customWidth="1"/>
    <col min="41" max="41" width="27.08984375" bestFit="1" customWidth="1"/>
    <col min="42" max="42" width="29.54296875" bestFit="1" customWidth="1"/>
    <col min="43" max="43" width="27.08984375" bestFit="1" customWidth="1"/>
    <col min="44" max="44" width="29.54296875" bestFit="1" customWidth="1"/>
    <col min="45" max="45" width="27.08984375" bestFit="1" customWidth="1"/>
    <col min="46" max="46" width="34.6328125" bestFit="1" customWidth="1"/>
    <col min="47" max="47" width="32" bestFit="1" customWidth="1"/>
    <col min="63" max="63" width="70.08984375" bestFit="1" customWidth="1"/>
    <col min="64" max="64" width="17.54296875" bestFit="1" customWidth="1"/>
    <col min="65" max="65" width="8.81640625" bestFit="1" customWidth="1"/>
    <col min="66" max="66" width="10.453125" bestFit="1" customWidth="1"/>
    <col min="67" max="67" width="27.81640625" bestFit="1" customWidth="1"/>
    <col min="68" max="68" width="12.90625" bestFit="1" customWidth="1"/>
    <col min="69" max="69" width="12.08984375" bestFit="1" customWidth="1"/>
    <col min="70" max="70" width="12.81640625" bestFit="1" customWidth="1"/>
    <col min="71" max="71" width="11" bestFit="1" customWidth="1"/>
  </cols>
  <sheetData>
    <row r="1" spans="3:83" x14ac:dyDescent="0.35">
      <c r="AX1" s="195" t="s">
        <v>360</v>
      </c>
      <c r="AY1" s="195"/>
      <c r="AZ1" s="195"/>
      <c r="BA1" s="195"/>
      <c r="BB1" s="195"/>
      <c r="BC1" s="195"/>
      <c r="BD1" s="195"/>
      <c r="BE1" s="195"/>
      <c r="BF1" s="195"/>
    </row>
    <row r="3" spans="3:83" x14ac:dyDescent="0.35">
      <c r="C3" s="18" t="s">
        <v>39</v>
      </c>
      <c r="D3" t="s" vm="2">
        <v>40</v>
      </c>
      <c r="H3" s="18" t="s">
        <v>39</v>
      </c>
      <c r="I3" t="s" vm="2">
        <v>40</v>
      </c>
      <c r="AE3" s="18" t="s">
        <v>39</v>
      </c>
      <c r="AF3" t="s" vm="2">
        <v>40</v>
      </c>
      <c r="AY3" t="s">
        <v>40</v>
      </c>
      <c r="AZ3" t="s">
        <v>1</v>
      </c>
      <c r="BA3" t="s">
        <v>220</v>
      </c>
      <c r="BB3" t="s">
        <v>249</v>
      </c>
      <c r="BC3" t="s">
        <v>217</v>
      </c>
      <c r="BD3" t="s">
        <v>218</v>
      </c>
      <c r="BE3" t="s">
        <v>252</v>
      </c>
      <c r="BF3" t="s">
        <v>251</v>
      </c>
      <c r="BK3" s="18" t="s">
        <v>39</v>
      </c>
      <c r="BL3" t="s" vm="2">
        <v>40</v>
      </c>
    </row>
    <row r="4" spans="3:83" x14ac:dyDescent="0.35">
      <c r="U4" t="s">
        <v>40</v>
      </c>
      <c r="V4" t="s">
        <v>1</v>
      </c>
      <c r="W4" t="s">
        <v>220</v>
      </c>
      <c r="X4" t="s">
        <v>249</v>
      </c>
      <c r="Y4" t="s">
        <v>217</v>
      </c>
      <c r="Z4" t="s">
        <v>218</v>
      </c>
      <c r="AA4" t="s">
        <v>252</v>
      </c>
      <c r="AB4" t="s">
        <v>251</v>
      </c>
      <c r="AW4">
        <v>1</v>
      </c>
      <c r="AX4" s="163" t="s">
        <v>42</v>
      </c>
      <c r="AY4" s="3">
        <f>(VLOOKUP($AW4,$AE$8:$AU$1048576,17,FALSE)/VLOOKUP($AW4,$AE$8:$AU$1048576,16,FALSE))</f>
        <v>0.5488977204559089</v>
      </c>
      <c r="AZ4" s="3">
        <f>(VLOOKUP($AW4,$AE$8:$AU$1048576,5,FALSE)/VLOOKUP($AW4,$AE$8:$AU$1048576,4,FALSE))</f>
        <v>0.55566892743532803</v>
      </c>
      <c r="BA4" s="3">
        <f>(VLOOKUP($AW4,$AE$8:$AU$1048576,7,FALSE)/VLOOKUP($AW4,$AE$8:$AU$1048576,6,FALSE))</f>
        <v>0.46309648040982826</v>
      </c>
      <c r="BB4" s="3">
        <f>(VLOOKUP($AW4,$AE$8:$AU$1048576,9,FALSE)/VLOOKUP($AW4,$AE$8:$AU$1048576,8,FALSE))</f>
        <v>0.60628328008519705</v>
      </c>
      <c r="BC4" s="3">
        <f>(VLOOKUP($AW4,$AE$8:$AU$1048576,13,FALSE)/VLOOKUP($AW4,$AE$8:$AU$1048576,12,FALSE))</f>
        <v>0.50496461681935378</v>
      </c>
      <c r="BD4" s="3">
        <f>(VLOOKUP($AW4,$AE$8:$AU$1048576,15,FALSE)/VLOOKUP($AW4,$AE$8:$AU$1048576,14,FALSE))</f>
        <v>0.63390807665616822</v>
      </c>
      <c r="BE4" s="3">
        <f>(VLOOKUP($AW4,$AE$8:$AU$1048576,3,FALSE)/VLOOKUP($AW4,$AE$8:$AU$1048576,2,FALSE))</f>
        <v>0.41453544836516676</v>
      </c>
      <c r="BF4" s="3">
        <f>(VLOOKUP($AW4,$AE$8:$AU$1048576,11,FALSE)/VLOOKUP($AW4,$AE$8:$AU$1048576,10,FALSE))</f>
        <v>0.60119146119477085</v>
      </c>
      <c r="BX4" t="s">
        <v>40</v>
      </c>
      <c r="BY4" t="s">
        <v>1</v>
      </c>
      <c r="BZ4" t="s">
        <v>220</v>
      </c>
      <c r="CA4" t="s">
        <v>249</v>
      </c>
      <c r="CB4" t="s">
        <v>217</v>
      </c>
      <c r="CC4" t="s">
        <v>218</v>
      </c>
      <c r="CD4" t="s">
        <v>252</v>
      </c>
      <c r="CE4" t="s">
        <v>251</v>
      </c>
    </row>
    <row r="5" spans="3:83" x14ac:dyDescent="0.35">
      <c r="C5" s="18" t="s">
        <v>37</v>
      </c>
      <c r="D5" t="s">
        <v>355</v>
      </c>
      <c r="E5" t="s">
        <v>354</v>
      </c>
      <c r="H5" s="18" t="s">
        <v>355</v>
      </c>
      <c r="I5" s="18" t="s">
        <v>41</v>
      </c>
      <c r="S5">
        <v>1</v>
      </c>
      <c r="T5" s="163" t="s">
        <v>42</v>
      </c>
      <c r="U5" s="166">
        <f>VLOOKUP($S5,$H$7:$P$1048576,9,0)/7</f>
        <v>19051.428571428572</v>
      </c>
      <c r="V5" s="166">
        <f>VLOOKUP($S5,$H$7:$P$1048576,3,0)/7</f>
        <v>2380.1428571428573</v>
      </c>
      <c r="W5" s="166">
        <f>VLOOKUP($S5,$H$7:$P$1048576,4,0)/7</f>
        <v>3011.7142857142858</v>
      </c>
      <c r="X5" s="166">
        <f>VLOOKUP($S5,$H$7:$P$1048576,5,0)/7</f>
        <v>4024.2857142857142</v>
      </c>
      <c r="Y5" s="166">
        <f>VLOOKUP($S5,$H$7:$P$1048576,7,0)/7</f>
        <v>2604.1428571428573</v>
      </c>
      <c r="Z5" s="166">
        <f>VLOOKUP($S5,$H$7:$P$1048576,8,0)/7</f>
        <v>2676.1428571428573</v>
      </c>
      <c r="AA5" s="166">
        <f>VLOOKUP($S5,$H$7:$P$1048576,2,0)/7</f>
        <v>1765.1428571428571</v>
      </c>
      <c r="AB5" s="166">
        <f>VLOOKUP($S5,$H$7:$P$1048576,6,0)/7</f>
        <v>2589.8571428571427</v>
      </c>
      <c r="AC5" s="3"/>
      <c r="AF5" s="18" t="s">
        <v>41</v>
      </c>
      <c r="AW5">
        <v>2</v>
      </c>
      <c r="AX5" s="163" t="s">
        <v>43</v>
      </c>
      <c r="AY5" s="3">
        <f t="shared" ref="AY5:AY16" si="0">(VLOOKUP($AW5,$AE$8:$AU$1048576,17,FALSE)/VLOOKUP($AW5,$AE$8:$AU$1048576,16,FALSE))</f>
        <v>0.54545117904965046</v>
      </c>
      <c r="AZ5" s="3">
        <f t="shared" ref="AZ5:AZ16" si="1">(VLOOKUP($AW5,$AE$8:$AU$1048576,5,FALSE)/VLOOKUP($AW5,$AE$8:$AU$1048576,4,FALSE))</f>
        <v>0.55771378925158244</v>
      </c>
      <c r="BA5" s="3">
        <f t="shared" ref="BA5:BA16" si="2">(VLOOKUP($AW5,$AE$8:$AU$1048576,7,FALSE)/VLOOKUP($AW5,$AE$8:$AU$1048576,6,FALSE))</f>
        <v>0.47073344410159024</v>
      </c>
      <c r="BB5" s="3">
        <f t="shared" ref="BB5:BB16" si="3">(VLOOKUP($AW5,$AE$8:$AU$1048576,9,FALSE)/VLOOKUP($AW5,$AE$8:$AU$1048576,8,FALSE))</f>
        <v>0.59809831359885179</v>
      </c>
      <c r="BC5" s="3">
        <f t="shared" ref="BC5:BC16" si="4">(VLOOKUP($AW5,$AE$8:$AU$1048576,13,FALSE)/VLOOKUP($AW5,$AE$8:$AU$1048576,12,FALSE))</f>
        <v>0.48138907276337894</v>
      </c>
      <c r="BD5" s="3">
        <f t="shared" ref="BD5:BD16" si="5">(VLOOKUP($AW5,$AE$8:$AU$1048576,15,FALSE)/VLOOKUP($AW5,$AE$8:$AU$1048576,14,FALSE))</f>
        <v>0.64616924274435672</v>
      </c>
      <c r="BE5" s="3">
        <f t="shared" ref="BE5:BE16" si="6">(VLOOKUP($AW5,$AE$8:$AU$1048576,3,FALSE)/VLOOKUP($AW5,$AE$8:$AU$1048576,2,FALSE))</f>
        <v>0.45601969159487438</v>
      </c>
      <c r="BF5" s="3">
        <f t="shared" ref="BF5:BF16" si="7">(VLOOKUP($AW5,$AE$8:$AU$1048576,11,FALSE)/VLOOKUP($AW5,$AE$8:$AU$1048576,10,FALSE))</f>
        <v>0.57733182284080486</v>
      </c>
      <c r="BK5" s="18" t="s">
        <v>354</v>
      </c>
      <c r="BL5" s="18" t="s">
        <v>41</v>
      </c>
      <c r="BV5">
        <v>1</v>
      </c>
      <c r="BW5" s="167" t="s">
        <v>42</v>
      </c>
      <c r="BX5" s="166">
        <f>VLOOKUP($BV5,$BK$7:$BS$1048576,9,0)/7</f>
        <v>10457.285714285714</v>
      </c>
      <c r="BY5" s="166">
        <f>VLOOKUP($BV5,$BK$7:$BS$1048576,3,0)/7</f>
        <v>1322.5714285714287</v>
      </c>
      <c r="BZ5" s="166">
        <f>VLOOKUP($BV5,$BK$7:$BS$1048576,4,0)/7</f>
        <v>1394.7142857142858</v>
      </c>
      <c r="CA5" s="166">
        <f>VLOOKUP($BV5,$BK$7:$BS$1048576,5,0)/7</f>
        <v>2439.8571428571427</v>
      </c>
      <c r="CB5" s="166">
        <f>VLOOKUP($BV5,$BK$7:$BS$1048576,7,0)/7</f>
        <v>1315</v>
      </c>
      <c r="CC5" s="166">
        <f>VLOOKUP($BV5,$BK$7:$BS$1048576,8,0)/7</f>
        <v>1696.4285714285713</v>
      </c>
      <c r="CD5" s="166">
        <f>VLOOKUP($BV5,$BK$7:$BS$1048576,2,0)/7</f>
        <v>731.71428571428567</v>
      </c>
      <c r="CE5" s="166">
        <f>VLOOKUP($BV5,$BK$7:$BS$1048576,6,0)/7</f>
        <v>1557</v>
      </c>
    </row>
    <row r="6" spans="3:83" x14ac:dyDescent="0.35">
      <c r="C6" s="19">
        <v>1</v>
      </c>
      <c r="D6" s="26">
        <v>133360</v>
      </c>
      <c r="E6" s="26">
        <v>73201</v>
      </c>
      <c r="H6" s="18" t="s">
        <v>37</v>
      </c>
      <c r="I6" t="s">
        <v>347</v>
      </c>
      <c r="J6" t="s">
        <v>348</v>
      </c>
      <c r="K6" t="s">
        <v>349</v>
      </c>
      <c r="L6" t="s">
        <v>350</v>
      </c>
      <c r="M6" t="s">
        <v>351</v>
      </c>
      <c r="N6" t="s">
        <v>352</v>
      </c>
      <c r="O6" t="s">
        <v>353</v>
      </c>
      <c r="P6" t="s">
        <v>38</v>
      </c>
      <c r="S6">
        <v>2</v>
      </c>
      <c r="T6" s="163" t="s">
        <v>43</v>
      </c>
      <c r="U6" s="166">
        <f t="shared" ref="U6:U17" si="8">VLOOKUP($S6,$H$7:$P$1048576,9,0)/7</f>
        <v>19289.142857142859</v>
      </c>
      <c r="V6" s="166">
        <f t="shared" ref="V6:V17" si="9">VLOOKUP($S6,$H$7:$P$1048576,3,0)/7</f>
        <v>2302</v>
      </c>
      <c r="W6" s="166">
        <f t="shared" ref="W6:W17" si="10">VLOOKUP($S6,$H$7:$P$1048576,4,0)/7</f>
        <v>3009.2857142857142</v>
      </c>
      <c r="X6" s="166">
        <f t="shared" ref="X6:X17" si="11">VLOOKUP($S6,$H$7:$P$1048576,5,0)/7</f>
        <v>3981.4285714285716</v>
      </c>
      <c r="Y6" s="166">
        <f t="shared" ref="Y6:Y17" si="12">VLOOKUP($S6,$H$7:$P$1048576,7,0)/7</f>
        <v>2805.5714285714284</v>
      </c>
      <c r="Z6" s="166">
        <f t="shared" ref="Z6:Z17" si="13">VLOOKUP($S6,$H$7:$P$1048576,8,0)/7</f>
        <v>2569.4285714285716</v>
      </c>
      <c r="AA6" s="166">
        <f t="shared" ref="AA6:AA17" si="14">VLOOKUP($S6,$H$7:$P$1048576,2,0)/7</f>
        <v>1973.2857142857142</v>
      </c>
      <c r="AB6" s="166">
        <f t="shared" ref="AB6:AB17" si="15">VLOOKUP($S6,$H$7:$P$1048576,6,0)/7</f>
        <v>2648.1428571428573</v>
      </c>
      <c r="AC6" s="3"/>
      <c r="AF6" t="s">
        <v>347</v>
      </c>
      <c r="AH6" t="s">
        <v>348</v>
      </c>
      <c r="AJ6" t="s">
        <v>349</v>
      </c>
      <c r="AL6" t="s">
        <v>350</v>
      </c>
      <c r="AN6" t="s">
        <v>351</v>
      </c>
      <c r="AP6" t="s">
        <v>352</v>
      </c>
      <c r="AR6" t="s">
        <v>353</v>
      </c>
      <c r="AT6" t="s">
        <v>358</v>
      </c>
      <c r="AU6" t="s">
        <v>359</v>
      </c>
      <c r="AW6">
        <v>3</v>
      </c>
      <c r="AX6" s="163" t="s">
        <v>44</v>
      </c>
      <c r="AY6" s="3">
        <f t="shared" si="0"/>
        <v>0.54591476250482562</v>
      </c>
      <c r="AZ6" s="3">
        <f t="shared" si="1"/>
        <v>0.57584203036053128</v>
      </c>
      <c r="BA6" s="3">
        <f t="shared" si="2"/>
        <v>0.4692779259675231</v>
      </c>
      <c r="BB6" s="3">
        <f t="shared" si="3"/>
        <v>0.59040051311288488</v>
      </c>
      <c r="BC6" s="3">
        <f t="shared" si="4"/>
        <v>0.47772626486595449</v>
      </c>
      <c r="BD6" s="3">
        <f t="shared" si="5"/>
        <v>0.65544320137693635</v>
      </c>
      <c r="BE6" s="3">
        <f t="shared" si="6"/>
        <v>0.44008810572687229</v>
      </c>
      <c r="BF6" s="3">
        <f t="shared" si="7"/>
        <v>0.57985634308651102</v>
      </c>
      <c r="BK6" s="18" t="s">
        <v>37</v>
      </c>
      <c r="BL6" t="s">
        <v>347</v>
      </c>
      <c r="BM6" t="s">
        <v>348</v>
      </c>
      <c r="BN6" t="s">
        <v>349</v>
      </c>
      <c r="BO6" t="s">
        <v>350</v>
      </c>
      <c r="BP6" t="s">
        <v>351</v>
      </c>
      <c r="BQ6" t="s">
        <v>352</v>
      </c>
      <c r="BR6" t="s">
        <v>353</v>
      </c>
      <c r="BS6" t="s">
        <v>38</v>
      </c>
      <c r="BV6">
        <v>2</v>
      </c>
      <c r="BW6" s="167" t="s">
        <v>43</v>
      </c>
      <c r="BX6" s="166">
        <f t="shared" ref="BX6:BX17" si="16">VLOOKUP($BV6,$BK$7:$BS$1048576,9,0)/7</f>
        <v>10521.285714285714</v>
      </c>
      <c r="BY6" s="166">
        <f t="shared" ref="BY6:BY17" si="17">VLOOKUP($BV6,$BK$7:$BS$1048576,3,0)/7</f>
        <v>1283.8571428571429</v>
      </c>
      <c r="BZ6" s="166">
        <f t="shared" ref="BZ6:BZ16" si="18">VLOOKUP($BV6,$BK$7:$BS$1048576,4,0)/7</f>
        <v>1416.5714285714287</v>
      </c>
      <c r="CA6" s="166">
        <f t="shared" ref="CA6:CA17" si="19">VLOOKUP($BV6,$BK$7:$BS$1048576,5,0)/7</f>
        <v>2381.2857142857142</v>
      </c>
      <c r="CB6" s="166">
        <f t="shared" ref="CB6:CB17" si="20">VLOOKUP($BV6,$BK$7:$BS$1048576,7,0)/7</f>
        <v>1350.5714285714287</v>
      </c>
      <c r="CC6" s="166">
        <f t="shared" ref="CC6:CC17" si="21">VLOOKUP($BV6,$BK$7:$BS$1048576,8,0)/7</f>
        <v>1660.2857142857142</v>
      </c>
      <c r="CD6" s="166">
        <f t="shared" ref="CD6:CD17" si="22">VLOOKUP($BV6,$BK$7:$BS$1048576,2,0)/7</f>
        <v>899.85714285714289</v>
      </c>
      <c r="CE6" s="166">
        <f t="shared" ref="CE6:CE17" si="23">VLOOKUP($BV6,$BK$7:$BS$1048576,6,0)/7</f>
        <v>1528.8571428571429</v>
      </c>
    </row>
    <row r="7" spans="3:83" x14ac:dyDescent="0.35">
      <c r="C7" s="19">
        <v>2</v>
      </c>
      <c r="D7" s="26">
        <v>135024</v>
      </c>
      <c r="E7" s="26">
        <v>73649</v>
      </c>
      <c r="H7" s="19">
        <v>1</v>
      </c>
      <c r="I7" s="26">
        <v>12356</v>
      </c>
      <c r="J7" s="26">
        <v>16661</v>
      </c>
      <c r="K7" s="26">
        <v>21082</v>
      </c>
      <c r="L7" s="26">
        <v>28170</v>
      </c>
      <c r="M7" s="26">
        <v>18129</v>
      </c>
      <c r="N7" s="26">
        <v>18229</v>
      </c>
      <c r="O7" s="26">
        <v>18733</v>
      </c>
      <c r="P7" s="26">
        <v>133360</v>
      </c>
      <c r="S7">
        <v>3</v>
      </c>
      <c r="T7" s="163" t="s">
        <v>44</v>
      </c>
      <c r="U7" s="166">
        <f t="shared" si="8"/>
        <v>19612.428571428572</v>
      </c>
      <c r="V7" s="166">
        <f t="shared" si="9"/>
        <v>2409.1428571428573</v>
      </c>
      <c r="W7" s="166">
        <f t="shared" si="10"/>
        <v>3052.7142857142858</v>
      </c>
      <c r="X7" s="166">
        <f t="shared" si="11"/>
        <v>4009.1428571428573</v>
      </c>
      <c r="Y7" s="166">
        <f t="shared" si="12"/>
        <v>2834.8571428571427</v>
      </c>
      <c r="Z7" s="166">
        <f t="shared" si="13"/>
        <v>2656</v>
      </c>
      <c r="AA7" s="166">
        <f t="shared" si="14"/>
        <v>1945.7142857142858</v>
      </c>
      <c r="AB7" s="166">
        <f t="shared" si="15"/>
        <v>2704.8571428571427</v>
      </c>
      <c r="AC7" s="3"/>
      <c r="AE7" s="18" t="s">
        <v>37</v>
      </c>
      <c r="AF7" t="s">
        <v>357</v>
      </c>
      <c r="AG7" t="s">
        <v>356</v>
      </c>
      <c r="AH7" t="s">
        <v>357</v>
      </c>
      <c r="AI7" t="s">
        <v>356</v>
      </c>
      <c r="AJ7" t="s">
        <v>357</v>
      </c>
      <c r="AK7" t="s">
        <v>356</v>
      </c>
      <c r="AL7" t="s">
        <v>357</v>
      </c>
      <c r="AM7" t="s">
        <v>356</v>
      </c>
      <c r="AN7" t="s">
        <v>357</v>
      </c>
      <c r="AO7" t="s">
        <v>356</v>
      </c>
      <c r="AP7" t="s">
        <v>357</v>
      </c>
      <c r="AQ7" t="s">
        <v>356</v>
      </c>
      <c r="AR7" t="s">
        <v>357</v>
      </c>
      <c r="AS7" t="s">
        <v>356</v>
      </c>
      <c r="AW7">
        <v>4</v>
      </c>
      <c r="AX7" s="163" t="s">
        <v>45</v>
      </c>
      <c r="AY7" s="3">
        <f t="shared" si="0"/>
        <v>0.51533139165274477</v>
      </c>
      <c r="AZ7" s="3">
        <f t="shared" si="1"/>
        <v>0.51454545454545453</v>
      </c>
      <c r="BA7" s="3">
        <f t="shared" si="2"/>
        <v>0.46589391131986041</v>
      </c>
      <c r="BB7" s="3">
        <f t="shared" si="3"/>
        <v>0.55116942384483736</v>
      </c>
      <c r="BC7" s="3">
        <f t="shared" si="4"/>
        <v>0.44511472028873417</v>
      </c>
      <c r="BD7" s="3">
        <f t="shared" si="5"/>
        <v>0.61730285464289625</v>
      </c>
      <c r="BE7" s="3">
        <f t="shared" si="6"/>
        <v>0.42844250582838234</v>
      </c>
      <c r="BF7" s="3">
        <f t="shared" si="7"/>
        <v>0.5601608413238478</v>
      </c>
      <c r="BK7" s="19">
        <v>1</v>
      </c>
      <c r="BL7" s="26">
        <v>5122</v>
      </c>
      <c r="BM7" s="26">
        <v>9258</v>
      </c>
      <c r="BN7" s="26">
        <v>9763</v>
      </c>
      <c r="BO7" s="26">
        <v>17079</v>
      </c>
      <c r="BP7" s="26">
        <v>10899</v>
      </c>
      <c r="BQ7" s="26">
        <v>9205</v>
      </c>
      <c r="BR7" s="26">
        <v>11875</v>
      </c>
      <c r="BS7" s="26">
        <v>73201</v>
      </c>
      <c r="BV7">
        <v>3</v>
      </c>
      <c r="BW7" s="167" t="s">
        <v>44</v>
      </c>
      <c r="BX7" s="166">
        <f t="shared" si="16"/>
        <v>10706.714285714286</v>
      </c>
      <c r="BY7" s="166">
        <f t="shared" si="17"/>
        <v>1387.2857142857142</v>
      </c>
      <c r="BZ7" s="166">
        <f t="shared" si="18"/>
        <v>1432.5714285714287</v>
      </c>
      <c r="CA7" s="166">
        <f t="shared" si="19"/>
        <v>2367</v>
      </c>
      <c r="CB7" s="166">
        <f t="shared" si="20"/>
        <v>1354.2857142857142</v>
      </c>
      <c r="CC7" s="166">
        <f t="shared" si="21"/>
        <v>1740.8571428571429</v>
      </c>
      <c r="CD7" s="166">
        <f t="shared" si="22"/>
        <v>856.28571428571433</v>
      </c>
      <c r="CE7" s="166">
        <f t="shared" si="23"/>
        <v>1568.4285714285713</v>
      </c>
    </row>
    <row r="8" spans="3:83" x14ac:dyDescent="0.35">
      <c r="C8" s="19">
        <v>3</v>
      </c>
      <c r="D8" s="26">
        <v>137287</v>
      </c>
      <c r="E8" s="26">
        <v>74947</v>
      </c>
      <c r="H8" s="19">
        <v>2</v>
      </c>
      <c r="I8" s="26">
        <v>13813</v>
      </c>
      <c r="J8" s="26">
        <v>16114</v>
      </c>
      <c r="K8" s="26">
        <v>21065</v>
      </c>
      <c r="L8" s="26">
        <v>27870</v>
      </c>
      <c r="M8" s="26">
        <v>18537</v>
      </c>
      <c r="N8" s="26">
        <v>19639</v>
      </c>
      <c r="O8" s="26">
        <v>17986</v>
      </c>
      <c r="P8" s="26">
        <v>135024</v>
      </c>
      <c r="S8">
        <v>4</v>
      </c>
      <c r="T8" s="163" t="s">
        <v>45</v>
      </c>
      <c r="U8" s="166">
        <f t="shared" si="8"/>
        <v>19325.428571428572</v>
      </c>
      <c r="V8" s="166">
        <f t="shared" si="9"/>
        <v>2200</v>
      </c>
      <c r="W8" s="166">
        <f t="shared" si="10"/>
        <v>3315.2857142857142</v>
      </c>
      <c r="X8" s="166">
        <f t="shared" si="11"/>
        <v>3756.4285714285716</v>
      </c>
      <c r="Y8" s="166">
        <f t="shared" si="12"/>
        <v>2770.7142857142858</v>
      </c>
      <c r="Z8" s="166">
        <f t="shared" si="13"/>
        <v>2612.2857142857142</v>
      </c>
      <c r="AA8" s="166">
        <f t="shared" si="14"/>
        <v>1899.5714285714287</v>
      </c>
      <c r="AB8" s="166">
        <f t="shared" si="15"/>
        <v>2771.1428571428573</v>
      </c>
      <c r="AC8" s="3"/>
      <c r="AE8" s="19">
        <v>1</v>
      </c>
      <c r="AF8" s="26">
        <v>135.78021978021977</v>
      </c>
      <c r="AG8" s="26">
        <v>56.285714285714285</v>
      </c>
      <c r="AH8" s="26">
        <v>132.23015873015873</v>
      </c>
      <c r="AI8" s="26">
        <v>73.476190476190482</v>
      </c>
      <c r="AJ8" s="26">
        <v>150.58571428571429</v>
      </c>
      <c r="AK8" s="26">
        <v>69.73571428571428</v>
      </c>
      <c r="AL8" s="26">
        <v>191.63265306122449</v>
      </c>
      <c r="AM8" s="26">
        <v>116.18367346938776</v>
      </c>
      <c r="AN8" s="26">
        <v>146.20161290322579</v>
      </c>
      <c r="AO8" s="26">
        <v>87.895161290322577</v>
      </c>
      <c r="AP8" s="26">
        <v>153.18487394957984</v>
      </c>
      <c r="AQ8" s="26">
        <v>77.352941176470594</v>
      </c>
      <c r="AR8" s="26">
        <v>178.40952380952382</v>
      </c>
      <c r="AS8" s="26">
        <v>113.0952380952381</v>
      </c>
      <c r="AT8" s="26">
        <v>156.52582159624413</v>
      </c>
      <c r="AU8" s="26">
        <v>85.916666666666671</v>
      </c>
      <c r="AW8">
        <v>5</v>
      </c>
      <c r="AX8" s="163" t="s">
        <v>46</v>
      </c>
      <c r="AY8" s="3">
        <f t="shared" si="0"/>
        <v>0.5835628939852292</v>
      </c>
      <c r="AZ8" s="3">
        <f t="shared" si="1"/>
        <v>0.57387814666180226</v>
      </c>
      <c r="BA8" s="3">
        <f t="shared" si="2"/>
        <v>0.56673335238639611</v>
      </c>
      <c r="BB8" s="3">
        <f t="shared" si="3"/>
        <v>0.5981494000338009</v>
      </c>
      <c r="BC8" s="3">
        <f t="shared" si="4"/>
        <v>0.51439608860988706</v>
      </c>
      <c r="BD8" s="3">
        <f t="shared" si="5"/>
        <v>0.66298592276895263</v>
      </c>
      <c r="BE8" s="3">
        <f t="shared" si="6"/>
        <v>0.49834777172456912</v>
      </c>
      <c r="BF8" s="3">
        <f t="shared" si="7"/>
        <v>0.64400597907324364</v>
      </c>
      <c r="BK8" s="19">
        <v>2</v>
      </c>
      <c r="BL8" s="26">
        <v>6299</v>
      </c>
      <c r="BM8" s="26">
        <v>8987</v>
      </c>
      <c r="BN8" s="26">
        <v>9916</v>
      </c>
      <c r="BO8" s="26">
        <v>16669</v>
      </c>
      <c r="BP8" s="26">
        <v>10702</v>
      </c>
      <c r="BQ8" s="26">
        <v>9454</v>
      </c>
      <c r="BR8" s="26">
        <v>11622</v>
      </c>
      <c r="BS8" s="26">
        <v>73649</v>
      </c>
      <c r="BV8">
        <v>4</v>
      </c>
      <c r="BW8" s="167" t="s">
        <v>45</v>
      </c>
      <c r="BX8" s="166">
        <f t="shared" si="16"/>
        <v>9959</v>
      </c>
      <c r="BY8" s="166">
        <f t="shared" si="17"/>
        <v>1132</v>
      </c>
      <c r="BZ8" s="166">
        <f t="shared" si="18"/>
        <v>1544.5714285714287</v>
      </c>
      <c r="CA8" s="166">
        <f t="shared" si="19"/>
        <v>2070.4285714285716</v>
      </c>
      <c r="CB8" s="166">
        <f t="shared" si="20"/>
        <v>1233.2857142857142</v>
      </c>
      <c r="CC8" s="166">
        <f t="shared" si="21"/>
        <v>1612.5714285714287</v>
      </c>
      <c r="CD8" s="166">
        <f t="shared" si="22"/>
        <v>813.85714285714289</v>
      </c>
      <c r="CE8" s="166">
        <f t="shared" si="23"/>
        <v>1552.2857142857142</v>
      </c>
    </row>
    <row r="9" spans="3:83" x14ac:dyDescent="0.35">
      <c r="C9" s="19">
        <v>4</v>
      </c>
      <c r="D9" s="26">
        <v>135278</v>
      </c>
      <c r="E9" s="26">
        <v>69713</v>
      </c>
      <c r="H9" s="19">
        <v>3</v>
      </c>
      <c r="I9" s="26">
        <v>13620</v>
      </c>
      <c r="J9" s="26">
        <v>16864</v>
      </c>
      <c r="K9" s="26">
        <v>21369</v>
      </c>
      <c r="L9" s="26">
        <v>28064</v>
      </c>
      <c r="M9" s="26">
        <v>18934</v>
      </c>
      <c r="N9" s="26">
        <v>19844</v>
      </c>
      <c r="O9" s="26">
        <v>18592</v>
      </c>
      <c r="P9" s="26">
        <v>137287</v>
      </c>
      <c r="S9">
        <v>5</v>
      </c>
      <c r="T9" s="163" t="s">
        <v>46</v>
      </c>
      <c r="U9" s="166">
        <f t="shared" si="8"/>
        <v>16906</v>
      </c>
      <c r="V9" s="166">
        <f t="shared" si="9"/>
        <v>1957.8571428571429</v>
      </c>
      <c r="W9" s="166">
        <f t="shared" si="10"/>
        <v>2999.1428571428573</v>
      </c>
      <c r="X9" s="166">
        <f t="shared" si="11"/>
        <v>3381.1428571428573</v>
      </c>
      <c r="Y9" s="166">
        <f t="shared" si="12"/>
        <v>2366.7142857142858</v>
      </c>
      <c r="Z9" s="166">
        <f t="shared" si="13"/>
        <v>2212.2857142857142</v>
      </c>
      <c r="AA9" s="166">
        <f t="shared" si="14"/>
        <v>1599.5714285714287</v>
      </c>
      <c r="AB9" s="166">
        <f t="shared" si="15"/>
        <v>2389.2857142857142</v>
      </c>
      <c r="AC9" s="3"/>
      <c r="AE9" s="19">
        <v>2</v>
      </c>
      <c r="AF9" s="26">
        <v>151.79120879120879</v>
      </c>
      <c r="AG9" s="26">
        <v>69.219780219780219</v>
      </c>
      <c r="AH9" s="26">
        <v>127.88888888888889</v>
      </c>
      <c r="AI9" s="26">
        <v>71.325396825396822</v>
      </c>
      <c r="AJ9" s="26">
        <v>150.46428571428572</v>
      </c>
      <c r="AK9" s="26">
        <v>70.828571428571422</v>
      </c>
      <c r="AL9" s="26">
        <v>189.59183673469389</v>
      </c>
      <c r="AM9" s="26">
        <v>113.39455782312925</v>
      </c>
      <c r="AN9" s="26">
        <v>147.11904761904762</v>
      </c>
      <c r="AO9" s="26">
        <v>84.936507936507937</v>
      </c>
      <c r="AP9" s="26">
        <v>165.03361344537817</v>
      </c>
      <c r="AQ9" s="26">
        <v>79.445378151260499</v>
      </c>
      <c r="AR9" s="26">
        <v>171.29523809523809</v>
      </c>
      <c r="AS9" s="26">
        <v>110.68571428571428</v>
      </c>
      <c r="AT9" s="26">
        <v>158.10772833723652</v>
      </c>
      <c r="AU9" s="26">
        <v>86.240046838407494</v>
      </c>
      <c r="AW9">
        <v>6</v>
      </c>
      <c r="AX9" s="163" t="s">
        <v>47</v>
      </c>
      <c r="AY9" s="3">
        <f t="shared" si="0"/>
        <v>0.60665232743369324</v>
      </c>
      <c r="AZ9" s="3">
        <f t="shared" si="1"/>
        <v>0.56382911592099461</v>
      </c>
      <c r="BA9" s="3">
        <f t="shared" si="2"/>
        <v>0.59125138883173534</v>
      </c>
      <c r="BB9" s="3">
        <f t="shared" si="3"/>
        <v>0.66274792369828206</v>
      </c>
      <c r="BC9" s="3">
        <f t="shared" si="4"/>
        <v>0.51468371536982171</v>
      </c>
      <c r="BD9" s="3">
        <f t="shared" si="5"/>
        <v>0.68554156730075977</v>
      </c>
      <c r="BE9" s="3">
        <f t="shared" si="6"/>
        <v>0.49246347684934683</v>
      </c>
      <c r="BF9" s="3">
        <f t="shared" si="7"/>
        <v>0.67834247910149237</v>
      </c>
      <c r="BK9" s="19">
        <v>3</v>
      </c>
      <c r="BL9" s="26">
        <v>5994</v>
      </c>
      <c r="BM9" s="26">
        <v>9711</v>
      </c>
      <c r="BN9" s="26">
        <v>10028</v>
      </c>
      <c r="BO9" s="26">
        <v>16569</v>
      </c>
      <c r="BP9" s="26">
        <v>10979</v>
      </c>
      <c r="BQ9" s="26">
        <v>9480</v>
      </c>
      <c r="BR9" s="26">
        <v>12186</v>
      </c>
      <c r="BS9" s="26">
        <v>74947</v>
      </c>
      <c r="BV9">
        <v>5</v>
      </c>
      <c r="BW9" s="167" t="s">
        <v>46</v>
      </c>
      <c r="BX9" s="166">
        <f t="shared" si="16"/>
        <v>9865.7142857142862</v>
      </c>
      <c r="BY9" s="166">
        <f t="shared" si="17"/>
        <v>1123.5714285714287</v>
      </c>
      <c r="BZ9" s="166">
        <f t="shared" si="18"/>
        <v>1699.7142857142858</v>
      </c>
      <c r="CA9" s="166">
        <f t="shared" si="19"/>
        <v>2022.4285714285713</v>
      </c>
      <c r="CB9" s="166">
        <f t="shared" si="20"/>
        <v>1217.4285714285713</v>
      </c>
      <c r="CC9" s="166">
        <f t="shared" si="21"/>
        <v>1466.7142857142858</v>
      </c>
      <c r="CD9" s="166">
        <f t="shared" si="22"/>
        <v>797.14285714285711</v>
      </c>
      <c r="CE9" s="166">
        <f t="shared" si="23"/>
        <v>1538.7142857142858</v>
      </c>
    </row>
    <row r="10" spans="3:83" x14ac:dyDescent="0.35">
      <c r="C10" s="19">
        <v>5</v>
      </c>
      <c r="D10" s="26">
        <v>118342</v>
      </c>
      <c r="E10" s="26">
        <v>69060</v>
      </c>
      <c r="H10" s="19">
        <v>4</v>
      </c>
      <c r="I10" s="26">
        <v>13297</v>
      </c>
      <c r="J10" s="26">
        <v>15400</v>
      </c>
      <c r="K10" s="26">
        <v>23207</v>
      </c>
      <c r="L10" s="26">
        <v>26295</v>
      </c>
      <c r="M10" s="26">
        <v>19398</v>
      </c>
      <c r="N10" s="26">
        <v>19395</v>
      </c>
      <c r="O10" s="26">
        <v>18286</v>
      </c>
      <c r="P10" s="26">
        <v>135278</v>
      </c>
      <c r="S10">
        <v>6</v>
      </c>
      <c r="T10" s="163" t="s">
        <v>47</v>
      </c>
      <c r="U10" s="166">
        <f t="shared" si="8"/>
        <v>19460.428571428572</v>
      </c>
      <c r="V10" s="166">
        <f t="shared" si="9"/>
        <v>2263.8571428571427</v>
      </c>
      <c r="W10" s="166">
        <f t="shared" si="10"/>
        <v>3471.5714285714284</v>
      </c>
      <c r="X10" s="166">
        <f t="shared" si="11"/>
        <v>3767</v>
      </c>
      <c r="Y10" s="166">
        <f t="shared" si="12"/>
        <v>2748.4285714285716</v>
      </c>
      <c r="Z10" s="166">
        <f t="shared" si="13"/>
        <v>2575.8571428571427</v>
      </c>
      <c r="AA10" s="166">
        <f t="shared" si="14"/>
        <v>1848.1428571428571</v>
      </c>
      <c r="AB10" s="166">
        <f t="shared" si="15"/>
        <v>2785.5714285714284</v>
      </c>
      <c r="AC10" s="3"/>
      <c r="AE10" s="19">
        <v>3</v>
      </c>
      <c r="AF10" s="26">
        <v>149.67032967032966</v>
      </c>
      <c r="AG10" s="26">
        <v>65.868131868131869</v>
      </c>
      <c r="AH10" s="26">
        <v>133.84126984126985</v>
      </c>
      <c r="AI10" s="26">
        <v>77.071428571428569</v>
      </c>
      <c r="AJ10" s="26">
        <v>152.63571428571427</v>
      </c>
      <c r="AK10" s="26">
        <v>71.628571428571433</v>
      </c>
      <c r="AL10" s="26">
        <v>190.91156462585033</v>
      </c>
      <c r="AM10" s="26">
        <v>112.71428571428571</v>
      </c>
      <c r="AN10" s="26">
        <v>150.26984126984127</v>
      </c>
      <c r="AO10" s="26">
        <v>87.134920634920633</v>
      </c>
      <c r="AP10" s="26">
        <v>166.75630252100839</v>
      </c>
      <c r="AQ10" s="26">
        <v>79.663865546218489</v>
      </c>
      <c r="AR10" s="26">
        <v>177.06666666666666</v>
      </c>
      <c r="AS10" s="26">
        <v>116.05714285714286</v>
      </c>
      <c r="AT10" s="26">
        <v>160.7576112412178</v>
      </c>
      <c r="AU10" s="26">
        <v>87.759953161592506</v>
      </c>
      <c r="AW10">
        <v>7</v>
      </c>
      <c r="AX10" s="163" t="s">
        <v>48</v>
      </c>
      <c r="AY10" s="3">
        <f t="shared" si="0"/>
        <v>0.59459991581462923</v>
      </c>
      <c r="AZ10" s="3">
        <f t="shared" si="1"/>
        <v>0.51608196023590935</v>
      </c>
      <c r="BA10" s="3">
        <f t="shared" si="2"/>
        <v>0.55918016115152935</v>
      </c>
      <c r="BB10" s="3">
        <f t="shared" si="3"/>
        <v>0.63933239077209558</v>
      </c>
      <c r="BC10" s="3">
        <f t="shared" si="4"/>
        <v>0.51007448433919023</v>
      </c>
      <c r="BD10" s="3">
        <f t="shared" si="5"/>
        <v>0.67974610502019617</v>
      </c>
      <c r="BE10" s="3">
        <f t="shared" si="6"/>
        <v>0.53457179744656436</v>
      </c>
      <c r="BF10" s="3">
        <f t="shared" si="7"/>
        <v>0.67895043209600137</v>
      </c>
      <c r="BK10" s="19">
        <v>4</v>
      </c>
      <c r="BL10" s="26">
        <v>5697</v>
      </c>
      <c r="BM10" s="26">
        <v>7924</v>
      </c>
      <c r="BN10" s="26">
        <v>10812</v>
      </c>
      <c r="BO10" s="26">
        <v>14493</v>
      </c>
      <c r="BP10" s="26">
        <v>10866</v>
      </c>
      <c r="BQ10" s="26">
        <v>8633</v>
      </c>
      <c r="BR10" s="26">
        <v>11288</v>
      </c>
      <c r="BS10" s="26">
        <v>69713</v>
      </c>
      <c r="BV10">
        <v>6</v>
      </c>
      <c r="BW10" s="167" t="s">
        <v>47</v>
      </c>
      <c r="BX10" s="166">
        <f t="shared" si="16"/>
        <v>11805.714285714286</v>
      </c>
      <c r="BY10" s="166">
        <f t="shared" si="17"/>
        <v>1276.4285714285713</v>
      </c>
      <c r="BZ10" s="166">
        <f t="shared" si="18"/>
        <v>2052.5714285714284</v>
      </c>
      <c r="CA10" s="166">
        <f t="shared" si="19"/>
        <v>2496.5714285714284</v>
      </c>
      <c r="CB10" s="166">
        <f t="shared" si="20"/>
        <v>1414.5714285714287</v>
      </c>
      <c r="CC10" s="166">
        <f t="shared" si="21"/>
        <v>1765.8571428571429</v>
      </c>
      <c r="CD10" s="166">
        <f t="shared" si="22"/>
        <v>910.14285714285711</v>
      </c>
      <c r="CE10" s="166">
        <f t="shared" si="23"/>
        <v>1889.5714285714287</v>
      </c>
    </row>
    <row r="11" spans="3:83" x14ac:dyDescent="0.35">
      <c r="C11" s="19">
        <v>6</v>
      </c>
      <c r="D11" s="26">
        <v>136223</v>
      </c>
      <c r="E11" s="26">
        <v>82640</v>
      </c>
      <c r="H11" s="19">
        <v>5</v>
      </c>
      <c r="I11" s="26">
        <v>11197</v>
      </c>
      <c r="J11" s="26">
        <v>13705</v>
      </c>
      <c r="K11" s="26">
        <v>20994</v>
      </c>
      <c r="L11" s="26">
        <v>23668</v>
      </c>
      <c r="M11" s="26">
        <v>16725</v>
      </c>
      <c r="N11" s="26">
        <v>16567</v>
      </c>
      <c r="O11" s="26">
        <v>15486</v>
      </c>
      <c r="P11" s="26">
        <v>118342</v>
      </c>
      <c r="S11">
        <v>7</v>
      </c>
      <c r="T11" s="163" t="s">
        <v>48</v>
      </c>
      <c r="U11" s="166">
        <f t="shared" si="8"/>
        <v>21042</v>
      </c>
      <c r="V11" s="166">
        <f t="shared" si="9"/>
        <v>2349.5714285714284</v>
      </c>
      <c r="W11" s="166">
        <f t="shared" si="10"/>
        <v>3652.2857142857142</v>
      </c>
      <c r="X11" s="166">
        <f t="shared" si="11"/>
        <v>4142.7142857142853</v>
      </c>
      <c r="Y11" s="166">
        <f t="shared" si="12"/>
        <v>2992</v>
      </c>
      <c r="Z11" s="166">
        <f t="shared" si="13"/>
        <v>2723.2857142857142</v>
      </c>
      <c r="AA11" s="166">
        <f t="shared" si="14"/>
        <v>1991.7142857142858</v>
      </c>
      <c r="AB11" s="166">
        <f t="shared" si="15"/>
        <v>3190.4285714285716</v>
      </c>
      <c r="AC11" s="3"/>
      <c r="AE11" s="19">
        <v>4</v>
      </c>
      <c r="AF11" s="26">
        <v>146.12087912087912</v>
      </c>
      <c r="AG11" s="26">
        <v>62.604395604395606</v>
      </c>
      <c r="AH11" s="26">
        <v>122.22222222222223</v>
      </c>
      <c r="AI11" s="26">
        <v>62.888888888888886</v>
      </c>
      <c r="AJ11" s="26">
        <v>165.76428571428571</v>
      </c>
      <c r="AK11" s="26">
        <v>77.228571428571428</v>
      </c>
      <c r="AL11" s="26">
        <v>178.87755102040816</v>
      </c>
      <c r="AM11" s="26">
        <v>98.591836734693871</v>
      </c>
      <c r="AN11" s="26">
        <v>153.95238095238096</v>
      </c>
      <c r="AO11" s="26">
        <v>86.238095238095241</v>
      </c>
      <c r="AP11" s="26">
        <v>162.98319327731093</v>
      </c>
      <c r="AQ11" s="26">
        <v>72.546218487394952</v>
      </c>
      <c r="AR11" s="26">
        <v>174.15238095238095</v>
      </c>
      <c r="AS11" s="26">
        <v>107.50476190476191</v>
      </c>
      <c r="AT11" s="26">
        <v>158.40515222482435</v>
      </c>
      <c r="AU11" s="26">
        <v>81.631147540983605</v>
      </c>
      <c r="AW11">
        <v>8</v>
      </c>
      <c r="AX11" s="163" t="s">
        <v>49</v>
      </c>
      <c r="AY11" s="3">
        <f t="shared" si="0"/>
        <v>0.59359327611156254</v>
      </c>
      <c r="AZ11" s="3">
        <f t="shared" si="1"/>
        <v>0.48397872077199061</v>
      </c>
      <c r="BA11" s="3">
        <f t="shared" si="2"/>
        <v>0.56948512409434249</v>
      </c>
      <c r="BB11" s="3">
        <f t="shared" si="3"/>
        <v>0.62675523127753308</v>
      </c>
      <c r="BC11" s="3">
        <f t="shared" si="4"/>
        <v>0.53828591499824374</v>
      </c>
      <c r="BD11" s="3">
        <f t="shared" si="5"/>
        <v>0.67547590117456457</v>
      </c>
      <c r="BE11" s="3">
        <f t="shared" si="6"/>
        <v>0.52845528455284552</v>
      </c>
      <c r="BF11" s="3">
        <f t="shared" si="7"/>
        <v>0.67861094561239255</v>
      </c>
      <c r="BK11" s="19">
        <v>5</v>
      </c>
      <c r="BL11" s="26">
        <v>5580</v>
      </c>
      <c r="BM11" s="26">
        <v>7865</v>
      </c>
      <c r="BN11" s="26">
        <v>11898</v>
      </c>
      <c r="BO11" s="26">
        <v>14157</v>
      </c>
      <c r="BP11" s="26">
        <v>10771</v>
      </c>
      <c r="BQ11" s="26">
        <v>8522</v>
      </c>
      <c r="BR11" s="26">
        <v>10267</v>
      </c>
      <c r="BS11" s="26">
        <v>69060</v>
      </c>
      <c r="BV11">
        <v>7</v>
      </c>
      <c r="BW11" s="167" t="s">
        <v>48</v>
      </c>
      <c r="BX11" s="166">
        <f t="shared" si="16"/>
        <v>12511.571428571429</v>
      </c>
      <c r="BY11" s="166">
        <f t="shared" si="17"/>
        <v>1212.5714285714287</v>
      </c>
      <c r="BZ11" s="166">
        <f t="shared" si="18"/>
        <v>2042.2857142857142</v>
      </c>
      <c r="CA11" s="166">
        <f t="shared" si="19"/>
        <v>2648.5714285714284</v>
      </c>
      <c r="CB11" s="166">
        <f t="shared" si="20"/>
        <v>1526.1428571428571</v>
      </c>
      <c r="CC11" s="166">
        <f t="shared" si="21"/>
        <v>1851.1428571428571</v>
      </c>
      <c r="CD11" s="166">
        <f t="shared" si="22"/>
        <v>1064.7142857142858</v>
      </c>
      <c r="CE11" s="166">
        <f t="shared" si="23"/>
        <v>2166.1428571428573</v>
      </c>
    </row>
    <row r="12" spans="3:83" x14ac:dyDescent="0.35">
      <c r="C12" s="19">
        <v>7</v>
      </c>
      <c r="D12" s="26">
        <v>147294</v>
      </c>
      <c r="E12" s="26">
        <v>87581</v>
      </c>
      <c r="H12" s="19">
        <v>6</v>
      </c>
      <c r="I12" s="26">
        <v>12937</v>
      </c>
      <c r="J12" s="26">
        <v>15847</v>
      </c>
      <c r="K12" s="26">
        <v>24301</v>
      </c>
      <c r="L12" s="26">
        <v>26369</v>
      </c>
      <c r="M12" s="26">
        <v>19499</v>
      </c>
      <c r="N12" s="26">
        <v>19239</v>
      </c>
      <c r="O12" s="26">
        <v>18031</v>
      </c>
      <c r="P12" s="26">
        <v>136223</v>
      </c>
      <c r="S12">
        <v>8</v>
      </c>
      <c r="T12" s="163" t="s">
        <v>49</v>
      </c>
      <c r="U12" s="166">
        <f t="shared" si="8"/>
        <v>21620.142857142859</v>
      </c>
      <c r="V12" s="166">
        <f t="shared" si="9"/>
        <v>2309.4285714285716</v>
      </c>
      <c r="W12" s="166">
        <f t="shared" si="10"/>
        <v>3706.8571428571427</v>
      </c>
      <c r="X12" s="166">
        <f t="shared" si="11"/>
        <v>4150.8571428571431</v>
      </c>
      <c r="Y12" s="166">
        <f t="shared" si="12"/>
        <v>3253.7142857142858</v>
      </c>
      <c r="Z12" s="166">
        <f t="shared" si="13"/>
        <v>2821.7142857142858</v>
      </c>
      <c r="AA12" s="166">
        <f t="shared" si="14"/>
        <v>2020.7142857142858</v>
      </c>
      <c r="AB12" s="166">
        <f t="shared" si="15"/>
        <v>3356.8571428571427</v>
      </c>
      <c r="AC12" s="3"/>
      <c r="AE12" s="19">
        <v>5</v>
      </c>
      <c r="AF12" s="26">
        <v>123.04395604395604</v>
      </c>
      <c r="AG12" s="26">
        <v>61.318681318681321</v>
      </c>
      <c r="AH12" s="26">
        <v>108.76984126984127</v>
      </c>
      <c r="AI12" s="26">
        <v>62.420634920634917</v>
      </c>
      <c r="AJ12" s="26">
        <v>149.95714285714286</v>
      </c>
      <c r="AK12" s="26">
        <v>84.98571428571428</v>
      </c>
      <c r="AL12" s="26">
        <v>161.00680272108843</v>
      </c>
      <c r="AM12" s="26">
        <v>96.306122448979593</v>
      </c>
      <c r="AN12" s="26">
        <v>132.73809523809524</v>
      </c>
      <c r="AO12" s="26">
        <v>85.484126984126988</v>
      </c>
      <c r="AP12" s="26">
        <v>139.21848739495798</v>
      </c>
      <c r="AQ12" s="26">
        <v>71.613445378151255</v>
      </c>
      <c r="AR12" s="26">
        <v>147.48571428571429</v>
      </c>
      <c r="AS12" s="26">
        <v>97.780952380952385</v>
      </c>
      <c r="AT12" s="26">
        <v>138.57377049180329</v>
      </c>
      <c r="AU12" s="26">
        <v>80.866510538641691</v>
      </c>
      <c r="AW12">
        <v>9</v>
      </c>
      <c r="AX12" s="163" t="s">
        <v>50</v>
      </c>
      <c r="AY12" s="3">
        <f t="shared" si="0"/>
        <v>0.5783117932148627</v>
      </c>
      <c r="AZ12" s="3">
        <f t="shared" si="1"/>
        <v>0.48119333890567739</v>
      </c>
      <c r="BA12" s="3">
        <f t="shared" si="2"/>
        <v>0.53691773066260595</v>
      </c>
      <c r="BB12" s="3">
        <f t="shared" si="3"/>
        <v>0.59410790175034212</v>
      </c>
      <c r="BC12" s="3">
        <f t="shared" si="4"/>
        <v>0.55286624203821655</v>
      </c>
      <c r="BD12" s="3">
        <f t="shared" si="5"/>
        <v>0.67122813951190596</v>
      </c>
      <c r="BE12" s="3">
        <f t="shared" si="6"/>
        <v>0.49210091959443525</v>
      </c>
      <c r="BF12" s="3">
        <f t="shared" si="7"/>
        <v>0.66255678131083706</v>
      </c>
      <c r="BK12" s="19">
        <v>6</v>
      </c>
      <c r="BL12" s="26">
        <v>6371</v>
      </c>
      <c r="BM12" s="26">
        <v>8935</v>
      </c>
      <c r="BN12" s="26">
        <v>14368</v>
      </c>
      <c r="BO12" s="26">
        <v>17476</v>
      </c>
      <c r="BP12" s="26">
        <v>13227</v>
      </c>
      <c r="BQ12" s="26">
        <v>9902</v>
      </c>
      <c r="BR12" s="26">
        <v>12361</v>
      </c>
      <c r="BS12" s="26">
        <v>82640</v>
      </c>
      <c r="BV12">
        <v>8</v>
      </c>
      <c r="BW12" s="167" t="s">
        <v>49</v>
      </c>
      <c r="BX12" s="166">
        <f t="shared" si="16"/>
        <v>12833.571428571429</v>
      </c>
      <c r="BY12" s="166">
        <f t="shared" si="17"/>
        <v>1117.7142857142858</v>
      </c>
      <c r="BZ12" s="166">
        <f t="shared" si="18"/>
        <v>2111</v>
      </c>
      <c r="CA12" s="166">
        <f t="shared" si="19"/>
        <v>2601.5714285714284</v>
      </c>
      <c r="CB12" s="166">
        <f t="shared" si="20"/>
        <v>1751.4285714285713</v>
      </c>
      <c r="CC12" s="166">
        <f t="shared" si="21"/>
        <v>1906</v>
      </c>
      <c r="CD12" s="166">
        <f t="shared" si="22"/>
        <v>1067.8571428571429</v>
      </c>
      <c r="CE12" s="166">
        <f t="shared" si="23"/>
        <v>2278</v>
      </c>
    </row>
    <row r="13" spans="3:83" x14ac:dyDescent="0.35">
      <c r="C13" s="19">
        <v>8</v>
      </c>
      <c r="D13" s="26">
        <v>151341</v>
      </c>
      <c r="E13" s="26">
        <v>89835</v>
      </c>
      <c r="H13" s="19">
        <v>7</v>
      </c>
      <c r="I13" s="26">
        <v>13942</v>
      </c>
      <c r="J13" s="26">
        <v>16447</v>
      </c>
      <c r="K13" s="26">
        <v>25566</v>
      </c>
      <c r="L13" s="26">
        <v>28999</v>
      </c>
      <c r="M13" s="26">
        <v>22333</v>
      </c>
      <c r="N13" s="26">
        <v>20944</v>
      </c>
      <c r="O13" s="26">
        <v>19063</v>
      </c>
      <c r="P13" s="26">
        <v>147294</v>
      </c>
      <c r="S13">
        <v>9</v>
      </c>
      <c r="T13" s="163" t="s">
        <v>50</v>
      </c>
      <c r="U13" s="166">
        <f t="shared" si="8"/>
        <v>21222.857142857141</v>
      </c>
      <c r="V13" s="166">
        <f t="shared" si="9"/>
        <v>2221.8571428571427</v>
      </c>
      <c r="W13" s="166">
        <f t="shared" si="10"/>
        <v>3658.7142857142858</v>
      </c>
      <c r="X13" s="166">
        <f t="shared" si="11"/>
        <v>3966.5714285714284</v>
      </c>
      <c r="Y13" s="166">
        <f t="shared" si="12"/>
        <v>3364.2857142857142</v>
      </c>
      <c r="Z13" s="166">
        <f t="shared" si="13"/>
        <v>2891.7142857142858</v>
      </c>
      <c r="AA13" s="166">
        <f t="shared" si="14"/>
        <v>1817.5714285714287</v>
      </c>
      <c r="AB13" s="166">
        <f t="shared" si="15"/>
        <v>3302.1428571428573</v>
      </c>
      <c r="AC13" s="3"/>
      <c r="AE13" s="19">
        <v>6</v>
      </c>
      <c r="AF13" s="26">
        <v>142.16483516483515</v>
      </c>
      <c r="AG13" s="26">
        <v>70.010989010989007</v>
      </c>
      <c r="AH13" s="26">
        <v>125.76984126984127</v>
      </c>
      <c r="AI13" s="26">
        <v>70.912698412698418</v>
      </c>
      <c r="AJ13" s="26">
        <v>173.57857142857142</v>
      </c>
      <c r="AK13" s="26">
        <v>102.62857142857143</v>
      </c>
      <c r="AL13" s="26">
        <v>179.38095238095238</v>
      </c>
      <c r="AM13" s="26">
        <v>118.8843537414966</v>
      </c>
      <c r="AN13" s="26">
        <v>154.75396825396825</v>
      </c>
      <c r="AO13" s="26">
        <v>104.97619047619048</v>
      </c>
      <c r="AP13" s="26">
        <v>161.67226890756302</v>
      </c>
      <c r="AQ13" s="26">
        <v>83.210084033613441</v>
      </c>
      <c r="AR13" s="26">
        <v>171.72380952380954</v>
      </c>
      <c r="AS13" s="26">
        <v>117.72380952380952</v>
      </c>
      <c r="AT13" s="26">
        <v>159.51170960187355</v>
      </c>
      <c r="AU13" s="26">
        <v>96.768149882903984</v>
      </c>
      <c r="AW13">
        <v>10</v>
      </c>
      <c r="AX13" s="163" t="s">
        <v>51</v>
      </c>
      <c r="AY13" s="3">
        <f t="shared" si="0"/>
        <v>0.57322388493389509</v>
      </c>
      <c r="AZ13" s="3">
        <f t="shared" si="1"/>
        <v>0.44625972856499646</v>
      </c>
      <c r="BA13" s="3">
        <f t="shared" si="2"/>
        <v>0.52634973631293391</v>
      </c>
      <c r="BB13" s="3">
        <f t="shared" si="3"/>
        <v>0.56566648481542103</v>
      </c>
      <c r="BC13" s="3">
        <f t="shared" si="4"/>
        <v>0.55490958833839188</v>
      </c>
      <c r="BD13" s="3">
        <f t="shared" si="5"/>
        <v>0.67190902492136473</v>
      </c>
      <c r="BE13" s="3">
        <f t="shared" si="6"/>
        <v>0.53528674832962142</v>
      </c>
      <c r="BF13" s="3">
        <f t="shared" si="7"/>
        <v>0.67285284521842303</v>
      </c>
      <c r="BK13" s="19">
        <v>7</v>
      </c>
      <c r="BL13" s="26">
        <v>7453</v>
      </c>
      <c r="BM13" s="26">
        <v>8488</v>
      </c>
      <c r="BN13" s="26">
        <v>14296</v>
      </c>
      <c r="BO13" s="26">
        <v>18540</v>
      </c>
      <c r="BP13" s="26">
        <v>15163</v>
      </c>
      <c r="BQ13" s="26">
        <v>10683</v>
      </c>
      <c r="BR13" s="26">
        <v>12958</v>
      </c>
      <c r="BS13" s="26">
        <v>87581</v>
      </c>
      <c r="BV13">
        <v>9</v>
      </c>
      <c r="BW13" s="167" t="s">
        <v>50</v>
      </c>
      <c r="BX13" s="166">
        <f t="shared" si="16"/>
        <v>12273.428571428571</v>
      </c>
      <c r="BY13" s="166">
        <f t="shared" si="17"/>
        <v>1069.1428571428571</v>
      </c>
      <c r="BZ13" s="166">
        <f t="shared" si="18"/>
        <v>1964.4285714285713</v>
      </c>
      <c r="CA13" s="166">
        <f t="shared" si="19"/>
        <v>2356.5714285714284</v>
      </c>
      <c r="CB13" s="166">
        <f t="shared" si="20"/>
        <v>1860</v>
      </c>
      <c r="CC13" s="166">
        <f t="shared" si="21"/>
        <v>1941</v>
      </c>
      <c r="CD13" s="166">
        <f t="shared" si="22"/>
        <v>894.42857142857144</v>
      </c>
      <c r="CE13" s="166">
        <f t="shared" si="23"/>
        <v>2187.8571428571427</v>
      </c>
    </row>
    <row r="14" spans="3:83" x14ac:dyDescent="0.35">
      <c r="C14" s="19">
        <v>9</v>
      </c>
      <c r="D14" s="26">
        <v>148560</v>
      </c>
      <c r="E14" s="26">
        <v>85914</v>
      </c>
      <c r="H14" s="19">
        <v>8</v>
      </c>
      <c r="I14" s="26">
        <v>14145</v>
      </c>
      <c r="J14" s="26">
        <v>16166</v>
      </c>
      <c r="K14" s="26">
        <v>25948</v>
      </c>
      <c r="L14" s="26">
        <v>29056</v>
      </c>
      <c r="M14" s="26">
        <v>23498</v>
      </c>
      <c r="N14" s="26">
        <v>22776</v>
      </c>
      <c r="O14" s="26">
        <v>19752</v>
      </c>
      <c r="P14" s="26">
        <v>151341</v>
      </c>
      <c r="S14">
        <v>10</v>
      </c>
      <c r="T14" s="163" t="s">
        <v>51</v>
      </c>
      <c r="U14" s="166">
        <f t="shared" si="8"/>
        <v>21632.285714285714</v>
      </c>
      <c r="V14" s="166">
        <f t="shared" si="9"/>
        <v>2221</v>
      </c>
      <c r="W14" s="166">
        <f t="shared" si="10"/>
        <v>3765.2857142857142</v>
      </c>
      <c r="X14" s="166">
        <f t="shared" si="11"/>
        <v>3927.8571428571427</v>
      </c>
      <c r="Y14" s="166">
        <f t="shared" si="12"/>
        <v>3341.8571428571427</v>
      </c>
      <c r="Z14" s="166">
        <f t="shared" si="13"/>
        <v>2952.1428571428573</v>
      </c>
      <c r="AA14" s="166">
        <f t="shared" si="14"/>
        <v>2052.5714285714284</v>
      </c>
      <c r="AB14" s="166">
        <f t="shared" si="15"/>
        <v>3371.5714285714284</v>
      </c>
      <c r="AC14" s="3"/>
      <c r="AE14" s="19">
        <v>7</v>
      </c>
      <c r="AF14" s="26">
        <v>153.20879120879121</v>
      </c>
      <c r="AG14" s="26">
        <v>81.901098901098905</v>
      </c>
      <c r="AH14" s="26">
        <v>130.53174603174602</v>
      </c>
      <c r="AI14" s="26">
        <v>67.365079365079367</v>
      </c>
      <c r="AJ14" s="26">
        <v>182.61428571428573</v>
      </c>
      <c r="AK14" s="26">
        <v>102.11428571428571</v>
      </c>
      <c r="AL14" s="26">
        <v>197.27210884353741</v>
      </c>
      <c r="AM14" s="26">
        <v>126.12244897959184</v>
      </c>
      <c r="AN14" s="26">
        <v>177.24603174603175</v>
      </c>
      <c r="AO14" s="26">
        <v>120.34126984126983</v>
      </c>
      <c r="AP14" s="26">
        <v>176</v>
      </c>
      <c r="AQ14" s="26">
        <v>89.773109243697476</v>
      </c>
      <c r="AR14" s="26">
        <v>181.55238095238096</v>
      </c>
      <c r="AS14" s="26">
        <v>123.4095238095238</v>
      </c>
      <c r="AT14" s="26">
        <v>172.47540983606558</v>
      </c>
      <c r="AU14" s="26">
        <v>102.55386416861826</v>
      </c>
      <c r="AW14">
        <v>11</v>
      </c>
      <c r="AX14" s="163" t="s">
        <v>52</v>
      </c>
      <c r="AY14" s="3">
        <f t="shared" si="0"/>
        <v>0.56405387882556857</v>
      </c>
      <c r="AZ14" s="3">
        <f t="shared" si="1"/>
        <v>0.45441053107052976</v>
      </c>
      <c r="BA14" s="3">
        <f t="shared" si="2"/>
        <v>0.5277712495103799</v>
      </c>
      <c r="BB14" s="3">
        <f t="shared" si="3"/>
        <v>0.55363700564971752</v>
      </c>
      <c r="BC14" s="3">
        <f t="shared" si="4"/>
        <v>0.55422694205201106</v>
      </c>
      <c r="BD14" s="3">
        <f t="shared" si="5"/>
        <v>0.66426999266324294</v>
      </c>
      <c r="BE14" s="3">
        <f t="shared" si="6"/>
        <v>0.4985347723536559</v>
      </c>
      <c r="BF14" s="3">
        <f t="shared" si="7"/>
        <v>0.65032192043661796</v>
      </c>
      <c r="BK14" s="19">
        <v>8</v>
      </c>
      <c r="BL14" s="26">
        <v>7475</v>
      </c>
      <c r="BM14" s="26">
        <v>7824</v>
      </c>
      <c r="BN14" s="26">
        <v>14777</v>
      </c>
      <c r="BO14" s="26">
        <v>18211</v>
      </c>
      <c r="BP14" s="26">
        <v>15946</v>
      </c>
      <c r="BQ14" s="26">
        <v>12260</v>
      </c>
      <c r="BR14" s="26">
        <v>13342</v>
      </c>
      <c r="BS14" s="26">
        <v>89835</v>
      </c>
      <c r="BV14">
        <v>10</v>
      </c>
      <c r="BW14" s="167" t="s">
        <v>51</v>
      </c>
      <c r="BX14" s="166">
        <f t="shared" si="16"/>
        <v>12400.142857142857</v>
      </c>
      <c r="BY14" s="166">
        <f t="shared" si="17"/>
        <v>991.14285714285711</v>
      </c>
      <c r="BZ14" s="166">
        <f t="shared" si="18"/>
        <v>1981.8571428571429</v>
      </c>
      <c r="CA14" s="166">
        <f t="shared" si="19"/>
        <v>2221.8571428571427</v>
      </c>
      <c r="CB14" s="166">
        <f t="shared" si="20"/>
        <v>1854.4285714285713</v>
      </c>
      <c r="CC14" s="166">
        <f t="shared" si="21"/>
        <v>1983.5714285714287</v>
      </c>
      <c r="CD14" s="166">
        <f t="shared" si="22"/>
        <v>1098.7142857142858</v>
      </c>
      <c r="CE14" s="166">
        <f t="shared" si="23"/>
        <v>2268.5714285714284</v>
      </c>
    </row>
    <row r="15" spans="3:83" x14ac:dyDescent="0.35">
      <c r="C15" s="19">
        <v>10</v>
      </c>
      <c r="D15" s="26">
        <v>151426</v>
      </c>
      <c r="E15" s="26">
        <v>86801</v>
      </c>
      <c r="H15" s="19">
        <v>9</v>
      </c>
      <c r="I15" s="26">
        <v>12723</v>
      </c>
      <c r="J15" s="26">
        <v>15553</v>
      </c>
      <c r="K15" s="26">
        <v>25611</v>
      </c>
      <c r="L15" s="26">
        <v>27766</v>
      </c>
      <c r="M15" s="26">
        <v>23115</v>
      </c>
      <c r="N15" s="26">
        <v>23550</v>
      </c>
      <c r="O15" s="26">
        <v>20242</v>
      </c>
      <c r="P15" s="26">
        <v>148560</v>
      </c>
      <c r="S15">
        <v>11</v>
      </c>
      <c r="T15" s="163" t="s">
        <v>52</v>
      </c>
      <c r="U15" s="166">
        <f t="shared" si="8"/>
        <v>21593.428571428572</v>
      </c>
      <c r="V15" s="166">
        <f t="shared" si="9"/>
        <v>2213.8571428571427</v>
      </c>
      <c r="W15" s="166">
        <f t="shared" si="10"/>
        <v>3647.1428571428573</v>
      </c>
      <c r="X15" s="166">
        <f t="shared" si="11"/>
        <v>4045.7142857142858</v>
      </c>
      <c r="Y15" s="166">
        <f t="shared" si="12"/>
        <v>3416.8571428571427</v>
      </c>
      <c r="Z15" s="166">
        <f t="shared" si="13"/>
        <v>2920.7142857142858</v>
      </c>
      <c r="AA15" s="166">
        <f t="shared" si="14"/>
        <v>1998.7142857142858</v>
      </c>
      <c r="AB15" s="166">
        <f t="shared" si="15"/>
        <v>3350.4285714285716</v>
      </c>
      <c r="AC15" s="3"/>
      <c r="AE15" s="19">
        <v>8</v>
      </c>
      <c r="AF15" s="26">
        <v>155.43956043956044</v>
      </c>
      <c r="AG15" s="26">
        <v>82.142857142857139</v>
      </c>
      <c r="AH15" s="26">
        <v>128.30158730158729</v>
      </c>
      <c r="AI15" s="26">
        <v>62.095238095238095</v>
      </c>
      <c r="AJ15" s="26">
        <v>185.34285714285716</v>
      </c>
      <c r="AK15" s="26">
        <v>105.55</v>
      </c>
      <c r="AL15" s="26">
        <v>197.65986394557822</v>
      </c>
      <c r="AM15" s="26">
        <v>123.8843537414966</v>
      </c>
      <c r="AN15" s="26">
        <v>186.49206349206349</v>
      </c>
      <c r="AO15" s="26">
        <v>126.55555555555556</v>
      </c>
      <c r="AP15" s="26">
        <v>191.39495798319328</v>
      </c>
      <c r="AQ15" s="26">
        <v>103.02521008403362</v>
      </c>
      <c r="AR15" s="26">
        <v>188.11428571428573</v>
      </c>
      <c r="AS15" s="26">
        <v>127.06666666666666</v>
      </c>
      <c r="AT15" s="26">
        <v>177.21428571428572</v>
      </c>
      <c r="AU15" s="26">
        <v>105.19320843091334</v>
      </c>
      <c r="AW15">
        <v>12</v>
      </c>
      <c r="AX15" s="163" t="s">
        <v>53</v>
      </c>
      <c r="AY15" s="3">
        <f t="shared" si="0"/>
        <v>0.56581948182696062</v>
      </c>
      <c r="AZ15" s="3">
        <f t="shared" si="1"/>
        <v>0.45775913720790895</v>
      </c>
      <c r="BA15" s="3">
        <f t="shared" si="2"/>
        <v>0.51635181799715624</v>
      </c>
      <c r="BB15" s="3">
        <f t="shared" si="3"/>
        <v>0.54503343419627182</v>
      </c>
      <c r="BC15" s="3">
        <f t="shared" si="4"/>
        <v>0.57369007803790406</v>
      </c>
      <c r="BD15" s="3">
        <f t="shared" si="5"/>
        <v>0.68016374038271854</v>
      </c>
      <c r="BE15" s="3">
        <f t="shared" si="6"/>
        <v>0.50875752599890522</v>
      </c>
      <c r="BF15" s="3">
        <f t="shared" si="7"/>
        <v>0.6437127091651339</v>
      </c>
      <c r="BK15" s="19">
        <v>9</v>
      </c>
      <c r="BL15" s="26">
        <v>6261</v>
      </c>
      <c r="BM15" s="26">
        <v>7484</v>
      </c>
      <c r="BN15" s="26">
        <v>13751</v>
      </c>
      <c r="BO15" s="26">
        <v>16496</v>
      </c>
      <c r="BP15" s="26">
        <v>15315</v>
      </c>
      <c r="BQ15" s="26">
        <v>13020</v>
      </c>
      <c r="BR15" s="26">
        <v>13587</v>
      </c>
      <c r="BS15" s="26">
        <v>85914</v>
      </c>
      <c r="BV15">
        <v>11</v>
      </c>
      <c r="BW15" s="167" t="s">
        <v>52</v>
      </c>
      <c r="BX15" s="166">
        <f t="shared" si="16"/>
        <v>12179.857142857143</v>
      </c>
      <c r="BY15" s="166">
        <f t="shared" si="17"/>
        <v>1006</v>
      </c>
      <c r="BZ15" s="166">
        <f t="shared" si="18"/>
        <v>1924.8571428571429</v>
      </c>
      <c r="CA15" s="166">
        <f t="shared" si="19"/>
        <v>2239.8571428571427</v>
      </c>
      <c r="CB15" s="166">
        <f t="shared" si="20"/>
        <v>1893.7142857142858</v>
      </c>
      <c r="CC15" s="166">
        <f t="shared" si="21"/>
        <v>1940.1428571428571</v>
      </c>
      <c r="CD15" s="166">
        <f t="shared" si="22"/>
        <v>996.42857142857144</v>
      </c>
      <c r="CE15" s="166">
        <f t="shared" si="23"/>
        <v>2178.8571428571427</v>
      </c>
    </row>
    <row r="16" spans="3:83" x14ac:dyDescent="0.35">
      <c r="C16" s="19">
        <v>11</v>
      </c>
      <c r="D16" s="26">
        <v>151154</v>
      </c>
      <c r="E16" s="26">
        <v>85259</v>
      </c>
      <c r="H16" s="19">
        <v>10</v>
      </c>
      <c r="I16" s="26">
        <v>14368</v>
      </c>
      <c r="J16" s="26">
        <v>15547</v>
      </c>
      <c r="K16" s="26">
        <v>26357</v>
      </c>
      <c r="L16" s="26">
        <v>27495</v>
      </c>
      <c r="M16" s="26">
        <v>23601</v>
      </c>
      <c r="N16" s="26">
        <v>23393</v>
      </c>
      <c r="O16" s="26">
        <v>20665</v>
      </c>
      <c r="P16" s="26">
        <v>151426</v>
      </c>
      <c r="S16">
        <v>12</v>
      </c>
      <c r="T16" s="163" t="s">
        <v>53</v>
      </c>
      <c r="U16" s="166">
        <f t="shared" si="8"/>
        <v>20859</v>
      </c>
      <c r="V16" s="166">
        <f t="shared" si="9"/>
        <v>2145.8571428571427</v>
      </c>
      <c r="W16" s="166">
        <f t="shared" si="10"/>
        <v>3516.4285714285716</v>
      </c>
      <c r="X16" s="166">
        <f t="shared" si="11"/>
        <v>3824.1428571428573</v>
      </c>
      <c r="Y16" s="166">
        <f t="shared" si="12"/>
        <v>3203.5714285714284</v>
      </c>
      <c r="Z16" s="166">
        <f t="shared" si="13"/>
        <v>2896.5714285714284</v>
      </c>
      <c r="AA16" s="166">
        <f t="shared" si="14"/>
        <v>2088</v>
      </c>
      <c r="AB16" s="166">
        <f t="shared" si="15"/>
        <v>3184.4285714285716</v>
      </c>
      <c r="AC16" s="3"/>
      <c r="AE16" s="19">
        <v>9</v>
      </c>
      <c r="AF16" s="26">
        <v>139.8131868131868</v>
      </c>
      <c r="AG16" s="26">
        <v>68.802197802197796</v>
      </c>
      <c r="AH16" s="26">
        <v>123.43650793650794</v>
      </c>
      <c r="AI16" s="26">
        <v>59.396825396825399</v>
      </c>
      <c r="AJ16" s="26">
        <v>182.93571428571428</v>
      </c>
      <c r="AK16" s="26">
        <v>98.221428571428575</v>
      </c>
      <c r="AL16" s="26">
        <v>188.8843537414966</v>
      </c>
      <c r="AM16" s="26">
        <v>112.21768707482993</v>
      </c>
      <c r="AN16" s="26">
        <v>183.45238095238096</v>
      </c>
      <c r="AO16" s="26">
        <v>121.54761904761905</v>
      </c>
      <c r="AP16" s="26">
        <v>197.89915966386553</v>
      </c>
      <c r="AQ16" s="26">
        <v>109.41176470588235</v>
      </c>
      <c r="AR16" s="26">
        <v>192.78095238095239</v>
      </c>
      <c r="AS16" s="26">
        <v>129.4</v>
      </c>
      <c r="AT16" s="26">
        <v>173.95784543325527</v>
      </c>
      <c r="AU16" s="26">
        <v>100.60187353629976</v>
      </c>
      <c r="AW16">
        <v>13</v>
      </c>
      <c r="AX16" s="163" t="s">
        <v>54</v>
      </c>
      <c r="AY16" s="3">
        <f t="shared" si="0"/>
        <v>0.55684997229467648</v>
      </c>
      <c r="AZ16" s="3">
        <f t="shared" si="1"/>
        <v>0.45559178975637832</v>
      </c>
      <c r="BA16" s="3">
        <f t="shared" si="2"/>
        <v>0.51028097318529797</v>
      </c>
      <c r="BB16" s="3">
        <f t="shared" si="3"/>
        <v>0.5412161671867064</v>
      </c>
      <c r="BC16" s="3">
        <f t="shared" si="4"/>
        <v>0.55886860195280008</v>
      </c>
      <c r="BD16" s="3">
        <f t="shared" si="5"/>
        <v>0.66997677980336934</v>
      </c>
      <c r="BE16" s="3">
        <f t="shared" si="6"/>
        <v>0.50020917584716218</v>
      </c>
      <c r="BF16" s="3">
        <f t="shared" si="7"/>
        <v>0.63058802534130454</v>
      </c>
      <c r="BK16" s="19">
        <v>10</v>
      </c>
      <c r="BL16" s="26">
        <v>7691</v>
      </c>
      <c r="BM16" s="26">
        <v>6938</v>
      </c>
      <c r="BN16" s="26">
        <v>13873</v>
      </c>
      <c r="BO16" s="26">
        <v>15553</v>
      </c>
      <c r="BP16" s="26">
        <v>15880</v>
      </c>
      <c r="BQ16" s="26">
        <v>12981</v>
      </c>
      <c r="BR16" s="26">
        <v>13885</v>
      </c>
      <c r="BS16" s="26">
        <v>86801</v>
      </c>
      <c r="BV16">
        <v>12</v>
      </c>
      <c r="BW16" s="167" t="s">
        <v>53</v>
      </c>
      <c r="BX16" s="166">
        <f t="shared" si="16"/>
        <v>11802.428571428571</v>
      </c>
      <c r="BY16" s="166">
        <f t="shared" si="17"/>
        <v>982.28571428571433</v>
      </c>
      <c r="BZ16" s="166">
        <f t="shared" si="18"/>
        <v>1815.7142857142858</v>
      </c>
      <c r="CA16" s="166">
        <f t="shared" si="19"/>
        <v>2084.2857142857142</v>
      </c>
      <c r="CB16" s="166">
        <f t="shared" si="20"/>
        <v>1837.8571428571429</v>
      </c>
      <c r="CC16" s="166">
        <f t="shared" si="21"/>
        <v>1970.1428571428571</v>
      </c>
      <c r="CD16" s="166">
        <f t="shared" si="22"/>
        <v>1062.2857142857142</v>
      </c>
      <c r="CE16" s="166">
        <f t="shared" si="23"/>
        <v>2049.8571428571427</v>
      </c>
    </row>
    <row r="17" spans="3:83" x14ac:dyDescent="0.35">
      <c r="C17" s="19">
        <v>12</v>
      </c>
      <c r="D17" s="26">
        <v>146013</v>
      </c>
      <c r="E17" s="26">
        <v>82617</v>
      </c>
      <c r="H17" s="19">
        <v>11</v>
      </c>
      <c r="I17" s="26">
        <v>13991</v>
      </c>
      <c r="J17" s="26">
        <v>15497</v>
      </c>
      <c r="K17" s="26">
        <v>25530</v>
      </c>
      <c r="L17" s="26">
        <v>28320</v>
      </c>
      <c r="M17" s="26">
        <v>23453</v>
      </c>
      <c r="N17" s="26">
        <v>23918</v>
      </c>
      <c r="O17" s="26">
        <v>20445</v>
      </c>
      <c r="P17" s="26">
        <v>151154</v>
      </c>
      <c r="S17">
        <v>13</v>
      </c>
      <c r="T17" s="163" t="s">
        <v>54</v>
      </c>
      <c r="U17" s="166">
        <f t="shared" si="8"/>
        <v>21140.857142857141</v>
      </c>
      <c r="V17" s="166">
        <f t="shared" si="9"/>
        <v>2234.1428571428573</v>
      </c>
      <c r="W17" s="166">
        <f t="shared" si="10"/>
        <v>3564.1428571428573</v>
      </c>
      <c r="X17" s="166">
        <f t="shared" si="11"/>
        <v>3937.4285714285716</v>
      </c>
      <c r="Y17" s="166">
        <f t="shared" si="12"/>
        <v>3262.7142857142858</v>
      </c>
      <c r="Z17" s="166">
        <f t="shared" si="13"/>
        <v>2891.5714285714284</v>
      </c>
      <c r="AA17" s="166">
        <f t="shared" si="14"/>
        <v>2048.8571428571427</v>
      </c>
      <c r="AB17" s="166">
        <f t="shared" si="15"/>
        <v>3202</v>
      </c>
      <c r="AC17" s="3"/>
      <c r="AE17" s="19">
        <v>10</v>
      </c>
      <c r="AF17" s="26">
        <v>157.8901098901099</v>
      </c>
      <c r="AG17" s="26">
        <v>84.516483516483518</v>
      </c>
      <c r="AH17" s="26">
        <v>123.38888888888889</v>
      </c>
      <c r="AI17" s="26">
        <v>55.063492063492063</v>
      </c>
      <c r="AJ17" s="26">
        <v>188.26428571428571</v>
      </c>
      <c r="AK17" s="26">
        <v>99.092857142857142</v>
      </c>
      <c r="AL17" s="26">
        <v>187.0408163265306</v>
      </c>
      <c r="AM17" s="26">
        <v>105.80272108843538</v>
      </c>
      <c r="AN17" s="26">
        <v>187.3095238095238</v>
      </c>
      <c r="AO17" s="26">
        <v>126.03174603174604</v>
      </c>
      <c r="AP17" s="26">
        <v>196.57983193277312</v>
      </c>
      <c r="AQ17" s="26">
        <v>109.08403361344538</v>
      </c>
      <c r="AR17" s="26">
        <v>196.8095238095238</v>
      </c>
      <c r="AS17" s="26">
        <v>132.23809523809524</v>
      </c>
      <c r="AT17" s="26">
        <v>177.31381733021078</v>
      </c>
      <c r="AU17" s="26">
        <v>101.64051522248243</v>
      </c>
      <c r="BK17" s="19">
        <v>11</v>
      </c>
      <c r="BL17" s="26">
        <v>6975</v>
      </c>
      <c r="BM17" s="26">
        <v>7042</v>
      </c>
      <c r="BN17" s="26">
        <v>13474</v>
      </c>
      <c r="BO17" s="26">
        <v>15679</v>
      </c>
      <c r="BP17" s="26">
        <v>15252</v>
      </c>
      <c r="BQ17" s="26">
        <v>13256</v>
      </c>
      <c r="BR17" s="26">
        <v>13581</v>
      </c>
      <c r="BS17" s="26">
        <v>85259</v>
      </c>
      <c r="BV17">
        <v>13</v>
      </c>
      <c r="BW17" s="167" t="s">
        <v>54</v>
      </c>
      <c r="BX17" s="166">
        <f t="shared" si="16"/>
        <v>11772.285714285714</v>
      </c>
      <c r="BY17" s="166">
        <f t="shared" si="17"/>
        <v>1017.8571428571429</v>
      </c>
      <c r="BZ17" s="166">
        <f>VLOOKUP($BV17,$BK$7:$BS$1048576,4,0)/7</f>
        <v>1818.7142857142858</v>
      </c>
      <c r="CA17" s="166">
        <f t="shared" si="19"/>
        <v>2131</v>
      </c>
      <c r="CB17" s="166">
        <f t="shared" si="20"/>
        <v>1823.4285714285713</v>
      </c>
      <c r="CC17" s="166">
        <f t="shared" si="21"/>
        <v>1937.2857142857142</v>
      </c>
      <c r="CD17" s="166">
        <f t="shared" si="22"/>
        <v>1024.8571428571429</v>
      </c>
      <c r="CE17" s="166">
        <f t="shared" si="23"/>
        <v>2019.1428571428571</v>
      </c>
    </row>
    <row r="18" spans="3:83" x14ac:dyDescent="0.35">
      <c r="C18" s="19">
        <v>13</v>
      </c>
      <c r="D18" s="26">
        <v>147986</v>
      </c>
      <c r="E18" s="26">
        <v>82406</v>
      </c>
      <c r="H18" s="19">
        <v>12</v>
      </c>
      <c r="I18" s="26">
        <v>14616</v>
      </c>
      <c r="J18" s="26">
        <v>15021</v>
      </c>
      <c r="K18" s="26">
        <v>24615</v>
      </c>
      <c r="L18" s="26">
        <v>26769</v>
      </c>
      <c r="M18" s="26">
        <v>22291</v>
      </c>
      <c r="N18" s="26">
        <v>22425</v>
      </c>
      <c r="O18" s="26">
        <v>20276</v>
      </c>
      <c r="P18" s="26">
        <v>146013</v>
      </c>
      <c r="AE18" s="19">
        <v>11</v>
      </c>
      <c r="AF18" s="26">
        <v>153.74725274725276</v>
      </c>
      <c r="AG18" s="26">
        <v>76.64835164835165</v>
      </c>
      <c r="AH18" s="26">
        <v>122.99206349206349</v>
      </c>
      <c r="AI18" s="26">
        <v>55.888888888888886</v>
      </c>
      <c r="AJ18" s="26">
        <v>182.35714285714286</v>
      </c>
      <c r="AK18" s="26">
        <v>96.242857142857147</v>
      </c>
      <c r="AL18" s="26">
        <v>192.65306122448979</v>
      </c>
      <c r="AM18" s="26">
        <v>106.65986394557824</v>
      </c>
      <c r="AN18" s="26">
        <v>186.13492063492063</v>
      </c>
      <c r="AO18" s="26">
        <v>121.04761904761905</v>
      </c>
      <c r="AP18" s="26">
        <v>200.99159663865547</v>
      </c>
      <c r="AQ18" s="26">
        <v>111.39495798319328</v>
      </c>
      <c r="AR18" s="26">
        <v>194.71428571428572</v>
      </c>
      <c r="AS18" s="26">
        <v>129.34285714285716</v>
      </c>
      <c r="AT18" s="26">
        <v>176.99531615925059</v>
      </c>
      <c r="AU18" s="26">
        <v>99.834894613583131</v>
      </c>
      <c r="BK18" s="19">
        <v>12</v>
      </c>
      <c r="BL18" s="26">
        <v>7436</v>
      </c>
      <c r="BM18" s="26">
        <v>6876</v>
      </c>
      <c r="BN18" s="26">
        <v>12710</v>
      </c>
      <c r="BO18" s="26">
        <v>14590</v>
      </c>
      <c r="BP18" s="26">
        <v>14349</v>
      </c>
      <c r="BQ18" s="26">
        <v>12865</v>
      </c>
      <c r="BR18" s="26">
        <v>13791</v>
      </c>
      <c r="BS18" s="26">
        <v>82617</v>
      </c>
    </row>
    <row r="19" spans="3:83" x14ac:dyDescent="0.35">
      <c r="C19" s="19" t="s">
        <v>38</v>
      </c>
      <c r="D19" s="26">
        <v>1839288</v>
      </c>
      <c r="E19" s="26">
        <v>1043623</v>
      </c>
      <c r="H19" s="19">
        <v>13</v>
      </c>
      <c r="I19" s="26">
        <v>14342</v>
      </c>
      <c r="J19" s="26">
        <v>15639</v>
      </c>
      <c r="K19" s="26">
        <v>24949</v>
      </c>
      <c r="L19" s="26">
        <v>27562</v>
      </c>
      <c r="M19" s="26">
        <v>22414</v>
      </c>
      <c r="N19" s="26">
        <v>22839</v>
      </c>
      <c r="O19" s="26">
        <v>20241</v>
      </c>
      <c r="P19" s="26">
        <v>147986</v>
      </c>
      <c r="AE19" s="19">
        <v>12</v>
      </c>
      <c r="AF19" s="26">
        <v>160.61538461538461</v>
      </c>
      <c r="AG19" s="26">
        <v>81.714285714285708</v>
      </c>
      <c r="AH19" s="26">
        <v>119.21428571428571</v>
      </c>
      <c r="AI19" s="26">
        <v>54.571428571428569</v>
      </c>
      <c r="AJ19" s="26">
        <v>175.82142857142858</v>
      </c>
      <c r="AK19" s="26">
        <v>90.785714285714292</v>
      </c>
      <c r="AL19" s="26">
        <v>182.10204081632654</v>
      </c>
      <c r="AM19" s="26">
        <v>99.251700680272108</v>
      </c>
      <c r="AN19" s="26">
        <v>176.9126984126984</v>
      </c>
      <c r="AO19" s="26">
        <v>113.88095238095238</v>
      </c>
      <c r="AP19" s="26">
        <v>188.44537815126051</v>
      </c>
      <c r="AQ19" s="26">
        <v>108.10924369747899</v>
      </c>
      <c r="AR19" s="26">
        <v>193.10476190476192</v>
      </c>
      <c r="AS19" s="26">
        <v>131.34285714285716</v>
      </c>
      <c r="AT19" s="26">
        <v>170.97540983606558</v>
      </c>
      <c r="AU19" s="26">
        <v>96.741217798594846</v>
      </c>
      <c r="BK19" s="19">
        <v>13</v>
      </c>
      <c r="BL19" s="26">
        <v>7174</v>
      </c>
      <c r="BM19" s="26">
        <v>7125</v>
      </c>
      <c r="BN19" s="26">
        <v>12731</v>
      </c>
      <c r="BO19" s="26">
        <v>14917</v>
      </c>
      <c r="BP19" s="26">
        <v>14134</v>
      </c>
      <c r="BQ19" s="26">
        <v>12764</v>
      </c>
      <c r="BR19" s="26">
        <v>13561</v>
      </c>
      <c r="BS19" s="26">
        <v>82406</v>
      </c>
    </row>
    <row r="20" spans="3:83" x14ac:dyDescent="0.35">
      <c r="H20" s="19" t="s">
        <v>38</v>
      </c>
      <c r="I20" s="26">
        <v>175347</v>
      </c>
      <c r="J20" s="26">
        <v>204461</v>
      </c>
      <c r="K20" s="26">
        <v>310594</v>
      </c>
      <c r="L20" s="26">
        <v>356403</v>
      </c>
      <c r="M20" s="26">
        <v>271927</v>
      </c>
      <c r="N20" s="26">
        <v>272758</v>
      </c>
      <c r="O20" s="26">
        <v>247798</v>
      </c>
      <c r="P20" s="26">
        <v>1839288</v>
      </c>
      <c r="AE20" s="19">
        <v>13</v>
      </c>
      <c r="AF20" s="26">
        <v>157.60439560439559</v>
      </c>
      <c r="AG20" s="26">
        <v>78.835164835164832</v>
      </c>
      <c r="AH20" s="26">
        <v>124.11904761904762</v>
      </c>
      <c r="AI20" s="26">
        <v>56.547619047619051</v>
      </c>
      <c r="AJ20" s="26">
        <v>178.20714285714286</v>
      </c>
      <c r="AK20" s="26">
        <v>90.935714285714283</v>
      </c>
      <c r="AL20" s="26">
        <v>187.49659863945578</v>
      </c>
      <c r="AM20" s="26">
        <v>101.47619047619048</v>
      </c>
      <c r="AN20" s="26">
        <v>177.88888888888889</v>
      </c>
      <c r="AO20" s="26">
        <v>112.17460317460318</v>
      </c>
      <c r="AP20" s="26">
        <v>191.92436974789916</v>
      </c>
      <c r="AQ20" s="26">
        <v>107.26050420168067</v>
      </c>
      <c r="AR20" s="26">
        <v>192.77142857142857</v>
      </c>
      <c r="AS20" s="26">
        <v>129.15238095238095</v>
      </c>
      <c r="AT20" s="26">
        <v>173.28571428571428</v>
      </c>
      <c r="AU20" s="26">
        <v>96.494145199063226</v>
      </c>
      <c r="BK20" s="19" t="s">
        <v>38</v>
      </c>
      <c r="BL20" s="26">
        <v>85528</v>
      </c>
      <c r="BM20" s="26">
        <v>104457</v>
      </c>
      <c r="BN20" s="26">
        <v>162397</v>
      </c>
      <c r="BO20" s="26">
        <v>210429</v>
      </c>
      <c r="BP20" s="26">
        <v>173483</v>
      </c>
      <c r="BQ20" s="26">
        <v>143025</v>
      </c>
      <c r="BR20" s="26">
        <v>164304</v>
      </c>
      <c r="BS20" s="26">
        <v>1043623</v>
      </c>
    </row>
    <row r="21" spans="3:83" x14ac:dyDescent="0.35">
      <c r="AE21" s="19" t="s">
        <v>38</v>
      </c>
      <c r="AF21" s="26">
        <v>148.22231614539308</v>
      </c>
      <c r="AG21" s="26">
        <v>72.29754860524092</v>
      </c>
      <c r="AH21" s="26">
        <v>124.82356532356532</v>
      </c>
      <c r="AI21" s="26">
        <v>63.77106227106227</v>
      </c>
      <c r="AJ21" s="26">
        <v>170.65604395604396</v>
      </c>
      <c r="AK21" s="26">
        <v>89.229120879120885</v>
      </c>
      <c r="AL21" s="26">
        <v>186.50078492935637</v>
      </c>
      <c r="AM21" s="26">
        <v>110.11459968602826</v>
      </c>
      <c r="AN21" s="26">
        <v>166.21454767726161</v>
      </c>
      <c r="AO21" s="26">
        <v>106.04095354523227</v>
      </c>
      <c r="AP21" s="26">
        <v>176.3141564318035</v>
      </c>
      <c r="AQ21" s="26">
        <v>92.453135100193919</v>
      </c>
      <c r="AR21" s="26">
        <v>181.53699633699634</v>
      </c>
      <c r="AS21" s="26">
        <v>120.36923076923077</v>
      </c>
      <c r="AT21" s="26">
        <v>165.70162162162163</v>
      </c>
      <c r="AU21" s="26">
        <v>94.020090090090093</v>
      </c>
    </row>
  </sheetData>
  <mergeCells count="1">
    <mergeCell ref="AX1:BF1"/>
  </mergeCells>
  <phoneticPr fontId="21" type="noConversion"/>
  <pageMargins left="0.7" right="0.7" top="0.75" bottom="0.75" header="0.3" footer="0.3"/>
  <pageSetup paperSize="9" orientation="portrait" horizontalDpi="4294967293" verticalDpi="4294967293"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W20"/>
  <sheetViews>
    <sheetView topLeftCell="E1" zoomScale="80" zoomScaleNormal="80" workbookViewId="0">
      <selection activeCell="T4" sqref="T4"/>
    </sheetView>
  </sheetViews>
  <sheetFormatPr defaultRowHeight="14.5" x14ac:dyDescent="0.35"/>
  <cols>
    <col min="2" max="2" width="13.6328125" bestFit="1" customWidth="1"/>
    <col min="3" max="3" width="17.54296875" bestFit="1" customWidth="1"/>
    <col min="4" max="4" width="17" bestFit="1" customWidth="1"/>
    <col min="7" max="7" width="17.54296875" bestFit="1" customWidth="1"/>
    <col min="8" max="8" width="16.1796875" bestFit="1" customWidth="1"/>
    <col min="9" max="9" width="7.08984375" bestFit="1" customWidth="1"/>
    <col min="10" max="10" width="8.81640625" bestFit="1" customWidth="1"/>
    <col min="11" max="11" width="22.453125" bestFit="1" customWidth="1"/>
    <col min="12" max="12" width="10.90625" bestFit="1" customWidth="1"/>
    <col min="13" max="13" width="10.08984375" bestFit="1" customWidth="1"/>
    <col min="14" max="14" width="10.90625" bestFit="1" customWidth="1"/>
    <col min="15" max="15" width="11" bestFit="1" customWidth="1"/>
    <col min="16" max="16" width="7.6328125" bestFit="1" customWidth="1"/>
    <col min="17" max="17" width="9" bestFit="1" customWidth="1"/>
    <col min="18" max="18" width="10.81640625" bestFit="1" customWidth="1"/>
    <col min="19" max="19" width="10.08984375" bestFit="1" customWidth="1"/>
    <col min="20" max="20" width="10.90625" bestFit="1" customWidth="1"/>
    <col min="21" max="21" width="22.453125" bestFit="1" customWidth="1"/>
    <col min="22" max="22" width="22.26953125" bestFit="1" customWidth="1"/>
    <col min="30" max="30" width="17" bestFit="1" customWidth="1"/>
    <col min="31" max="31" width="16.1796875" bestFit="1" customWidth="1"/>
    <col min="32" max="32" width="7.08984375" bestFit="1" customWidth="1"/>
    <col min="33" max="33" width="8.81640625" bestFit="1" customWidth="1"/>
    <col min="34" max="34" width="22.453125" bestFit="1" customWidth="1"/>
    <col min="35" max="35" width="10.90625" bestFit="1" customWidth="1"/>
    <col min="36" max="36" width="10.08984375" bestFit="1" customWidth="1"/>
    <col min="37" max="37" width="10.90625" bestFit="1" customWidth="1"/>
    <col min="38" max="38" width="11" bestFit="1" customWidth="1"/>
    <col min="39" max="39" width="17.6328125" bestFit="1" customWidth="1"/>
    <col min="40" max="40" width="17.26953125" bestFit="1" customWidth="1"/>
    <col min="41" max="41" width="17.6328125" bestFit="1" customWidth="1"/>
    <col min="42" max="42" width="17.26953125" bestFit="1" customWidth="1"/>
    <col min="43" max="43" width="17.6328125" bestFit="1" customWidth="1"/>
    <col min="44" max="44" width="17.26953125" bestFit="1" customWidth="1"/>
    <col min="45" max="45" width="22.453125" bestFit="1" customWidth="1"/>
    <col min="46" max="46" width="22.26953125" bestFit="1" customWidth="1"/>
  </cols>
  <sheetData>
    <row r="2" spans="2:49" x14ac:dyDescent="0.35">
      <c r="B2" s="18" t="s">
        <v>39</v>
      </c>
      <c r="C2" t="s" vm="1">
        <v>334</v>
      </c>
    </row>
    <row r="3" spans="2:49" x14ac:dyDescent="0.35">
      <c r="G3" s="18" t="s">
        <v>39</v>
      </c>
      <c r="H3" t="s" vm="1">
        <v>334</v>
      </c>
      <c r="S3" t="s">
        <v>40</v>
      </c>
      <c r="T3" t="s">
        <v>1</v>
      </c>
      <c r="U3" t="s">
        <v>220</v>
      </c>
      <c r="V3" t="s">
        <v>249</v>
      </c>
      <c r="W3" t="s">
        <v>217</v>
      </c>
      <c r="X3" t="s">
        <v>218</v>
      </c>
      <c r="Y3" t="s">
        <v>252</v>
      </c>
      <c r="Z3" t="s">
        <v>251</v>
      </c>
      <c r="AD3" s="18" t="s">
        <v>39</v>
      </c>
      <c r="AE3" t="s" vm="1">
        <v>334</v>
      </c>
      <c r="AP3" t="s">
        <v>40</v>
      </c>
      <c r="AQ3" t="s">
        <v>1</v>
      </c>
      <c r="AR3" t="s">
        <v>220</v>
      </c>
      <c r="AS3" t="s">
        <v>249</v>
      </c>
      <c r="AT3" t="s">
        <v>217</v>
      </c>
      <c r="AU3" t="s">
        <v>218</v>
      </c>
      <c r="AV3" t="s">
        <v>252</v>
      </c>
      <c r="AW3" t="s">
        <v>251</v>
      </c>
    </row>
    <row r="4" spans="2:49" x14ac:dyDescent="0.35">
      <c r="B4" s="18" t="s">
        <v>37</v>
      </c>
      <c r="C4" t="s">
        <v>339</v>
      </c>
      <c r="D4" t="s">
        <v>340</v>
      </c>
      <c r="R4" s="21" t="s">
        <v>42</v>
      </c>
      <c r="S4">
        <f>VLOOKUP(R4,$G$7:$O$1048576,9,0)</f>
        <v>218</v>
      </c>
      <c r="T4">
        <f t="shared" ref="T4:T16" si="0">VLOOKUP($R4,$G$7:$O$1048576,3,0)</f>
        <v>13</v>
      </c>
      <c r="U4">
        <f t="shared" ref="U4:U16" si="1">VLOOKUP($R4,$G$7:$O$1048576,4,0)</f>
        <v>13</v>
      </c>
      <c r="V4">
        <f t="shared" ref="V4:V16" si="2">VLOOKUP($R4,$G$7:$O$1048576,5,0)</f>
        <v>35</v>
      </c>
      <c r="W4">
        <f t="shared" ref="W4:W16" si="3">VLOOKUP($R4,$G$7:$O$1048576,7,0)</f>
        <v>71</v>
      </c>
      <c r="X4">
        <f t="shared" ref="X4:X16" si="4">VLOOKUP($R4,$G$7:$O$1048576,8,0)</f>
        <v>30</v>
      </c>
      <c r="Y4">
        <f t="shared" ref="Y4:Y16" si="5">VLOOKUP($R4,$G$7:$O$1048576,2,0)</f>
        <v>0</v>
      </c>
      <c r="Z4">
        <f t="shared" ref="Z4:Z16" si="6">VLOOKUP($R4,$G$7:$O$1048576,6,0)</f>
        <v>56</v>
      </c>
      <c r="AO4" s="21" t="s">
        <v>42</v>
      </c>
      <c r="AP4">
        <f>VLOOKUP(AO4,$AD$7:$AL$1048576,9,0)</f>
        <v>18</v>
      </c>
      <c r="AQ4">
        <f>VLOOKUP($R4,$AD$7:$AL$1048576,3,0)</f>
        <v>3</v>
      </c>
      <c r="AR4">
        <f>VLOOKUP($R4,$AD$7:$AL$1048576,4,0)</f>
        <v>4</v>
      </c>
      <c r="AS4">
        <f>VLOOKUP($R4,$AD$7:$AL$1048576,5,0)</f>
        <v>9</v>
      </c>
      <c r="AT4">
        <f>VLOOKUP($R4,$AD$7:$AL$1048576,7,0)</f>
        <v>0</v>
      </c>
      <c r="AU4">
        <f>VLOOKUP($R4,$AD$7:$AL$1048576,8,0)</f>
        <v>2</v>
      </c>
      <c r="AV4">
        <f>VLOOKUP($R4,$AD$7:$AL$1048576,2,0)</f>
        <v>0</v>
      </c>
      <c r="AW4">
        <f>VLOOKUP($R4,$AD$7:$AL$1048576,6,0)</f>
        <v>0</v>
      </c>
    </row>
    <row r="5" spans="2:49" x14ac:dyDescent="0.35">
      <c r="B5" s="19">
        <v>1</v>
      </c>
      <c r="C5" s="2">
        <v>218</v>
      </c>
      <c r="D5" s="2">
        <v>18</v>
      </c>
      <c r="G5" s="18" t="s">
        <v>339</v>
      </c>
      <c r="H5" s="18" t="s">
        <v>41</v>
      </c>
      <c r="R5" s="21" t="s">
        <v>43</v>
      </c>
      <c r="S5">
        <f t="shared" ref="S5:S16" si="7">VLOOKUP(R5,$G$7:$O$1048576,9,0)</f>
        <v>173</v>
      </c>
      <c r="T5">
        <f t="shared" si="0"/>
        <v>34</v>
      </c>
      <c r="U5">
        <f t="shared" si="1"/>
        <v>27</v>
      </c>
      <c r="V5">
        <f t="shared" si="2"/>
        <v>34</v>
      </c>
      <c r="W5">
        <f t="shared" si="3"/>
        <v>34</v>
      </c>
      <c r="X5">
        <f t="shared" si="4"/>
        <v>16</v>
      </c>
      <c r="Y5">
        <f t="shared" si="5"/>
        <v>1</v>
      </c>
      <c r="Z5">
        <f t="shared" si="6"/>
        <v>27</v>
      </c>
      <c r="AD5" s="18" t="s">
        <v>340</v>
      </c>
      <c r="AE5" s="18" t="s">
        <v>41</v>
      </c>
      <c r="AO5" s="21" t="s">
        <v>43</v>
      </c>
      <c r="AP5">
        <f t="shared" ref="AP5:AP16" si="8">VLOOKUP(AO5,$AD$7:$AL$1048576,9,0)</f>
        <v>5</v>
      </c>
      <c r="AQ5">
        <f t="shared" ref="AQ5:AQ16" si="9">VLOOKUP($R5,$AD$7:$AL$1048576,3,0)</f>
        <v>0</v>
      </c>
      <c r="AR5">
        <f t="shared" ref="AR5:AR16" si="10">VLOOKUP($R5,$AD$7:$AL$1048576,4,0)</f>
        <v>2</v>
      </c>
      <c r="AS5">
        <f t="shared" ref="AS5:AS16" si="11">VLOOKUP($R5,$AD$7:$AL$1048576,5,0)</f>
        <v>1</v>
      </c>
      <c r="AT5">
        <f t="shared" ref="AT5:AT16" si="12">VLOOKUP($R5,$AD$7:$AL$1048576,7,0)</f>
        <v>0</v>
      </c>
      <c r="AU5">
        <f t="shared" ref="AU5:AU15" si="13">VLOOKUP($R5,$AD$7:$AL$1048576,8,0)</f>
        <v>2</v>
      </c>
      <c r="AV5">
        <f t="shared" ref="AV5:AV16" si="14">VLOOKUP($R5,$AD$7:$AL$1048576,2,0)</f>
        <v>0</v>
      </c>
      <c r="AW5">
        <f t="shared" ref="AW5:AW16" si="15">VLOOKUP($R5,$AD$7:$AL$1048576,6,0)</f>
        <v>0</v>
      </c>
    </row>
    <row r="6" spans="2:49" x14ac:dyDescent="0.35">
      <c r="B6" s="19">
        <v>2</v>
      </c>
      <c r="C6" s="2">
        <v>173</v>
      </c>
      <c r="D6" s="2">
        <v>5</v>
      </c>
      <c r="G6" s="18" t="s">
        <v>37</v>
      </c>
      <c r="H6" t="s">
        <v>282</v>
      </c>
      <c r="I6" t="s">
        <v>1</v>
      </c>
      <c r="J6" t="s">
        <v>220</v>
      </c>
      <c r="K6" t="s">
        <v>253</v>
      </c>
      <c r="L6" t="s">
        <v>250</v>
      </c>
      <c r="M6" t="s">
        <v>217</v>
      </c>
      <c r="N6" t="s">
        <v>218</v>
      </c>
      <c r="O6" t="s">
        <v>38</v>
      </c>
      <c r="R6" s="21" t="s">
        <v>44</v>
      </c>
      <c r="S6">
        <f t="shared" si="7"/>
        <v>210</v>
      </c>
      <c r="T6">
        <f t="shared" si="0"/>
        <v>40</v>
      </c>
      <c r="U6">
        <f t="shared" si="1"/>
        <v>43</v>
      </c>
      <c r="V6">
        <f t="shared" si="2"/>
        <v>40</v>
      </c>
      <c r="W6">
        <f t="shared" si="3"/>
        <v>21</v>
      </c>
      <c r="X6">
        <f t="shared" si="4"/>
        <v>34</v>
      </c>
      <c r="Y6">
        <f t="shared" si="5"/>
        <v>3</v>
      </c>
      <c r="Z6">
        <f t="shared" si="6"/>
        <v>29</v>
      </c>
      <c r="AD6" s="18" t="s">
        <v>37</v>
      </c>
      <c r="AE6" t="s">
        <v>282</v>
      </c>
      <c r="AF6" t="s">
        <v>1</v>
      </c>
      <c r="AG6" t="s">
        <v>220</v>
      </c>
      <c r="AH6" t="s">
        <v>253</v>
      </c>
      <c r="AI6" t="s">
        <v>250</v>
      </c>
      <c r="AJ6" t="s">
        <v>217</v>
      </c>
      <c r="AK6" t="s">
        <v>218</v>
      </c>
      <c r="AL6" t="s">
        <v>38</v>
      </c>
      <c r="AO6" s="21" t="s">
        <v>44</v>
      </c>
      <c r="AP6">
        <f t="shared" si="8"/>
        <v>17</v>
      </c>
      <c r="AQ6">
        <f t="shared" si="9"/>
        <v>0</v>
      </c>
      <c r="AR6">
        <f t="shared" si="10"/>
        <v>7</v>
      </c>
      <c r="AS6">
        <f t="shared" si="11"/>
        <v>0</v>
      </c>
      <c r="AT6">
        <f t="shared" si="12"/>
        <v>8</v>
      </c>
      <c r="AU6">
        <f t="shared" si="13"/>
        <v>2</v>
      </c>
      <c r="AV6">
        <f t="shared" si="14"/>
        <v>0</v>
      </c>
      <c r="AW6">
        <f t="shared" si="15"/>
        <v>0</v>
      </c>
    </row>
    <row r="7" spans="2:49" x14ac:dyDescent="0.35">
      <c r="B7" s="19">
        <v>3</v>
      </c>
      <c r="C7" s="2">
        <v>210</v>
      </c>
      <c r="D7" s="2">
        <v>17</v>
      </c>
      <c r="G7" s="19" t="s">
        <v>42</v>
      </c>
      <c r="H7" s="2">
        <v>0</v>
      </c>
      <c r="I7" s="2">
        <v>13</v>
      </c>
      <c r="J7" s="2">
        <v>13</v>
      </c>
      <c r="K7" s="2">
        <v>35</v>
      </c>
      <c r="L7" s="2">
        <v>56</v>
      </c>
      <c r="M7" s="2">
        <v>71</v>
      </c>
      <c r="N7" s="2">
        <v>30</v>
      </c>
      <c r="O7" s="2">
        <v>218</v>
      </c>
      <c r="R7" s="21" t="s">
        <v>45</v>
      </c>
      <c r="S7">
        <f t="shared" si="7"/>
        <v>224</v>
      </c>
      <c r="T7">
        <f t="shared" si="0"/>
        <v>42</v>
      </c>
      <c r="U7">
        <f t="shared" si="1"/>
        <v>30</v>
      </c>
      <c r="V7">
        <f t="shared" si="2"/>
        <v>45</v>
      </c>
      <c r="W7">
        <f t="shared" si="3"/>
        <v>42</v>
      </c>
      <c r="X7">
        <f t="shared" si="4"/>
        <v>36</v>
      </c>
      <c r="Y7">
        <f t="shared" si="5"/>
        <v>8</v>
      </c>
      <c r="Z7">
        <f t="shared" si="6"/>
        <v>21</v>
      </c>
      <c r="AD7" s="19" t="s">
        <v>42</v>
      </c>
      <c r="AE7" s="2">
        <v>0</v>
      </c>
      <c r="AF7" s="2">
        <v>3</v>
      </c>
      <c r="AG7" s="2">
        <v>4</v>
      </c>
      <c r="AH7" s="2">
        <v>9</v>
      </c>
      <c r="AI7" s="2">
        <v>0</v>
      </c>
      <c r="AJ7" s="2">
        <v>0</v>
      </c>
      <c r="AK7" s="2">
        <v>2</v>
      </c>
      <c r="AL7" s="2">
        <v>18</v>
      </c>
      <c r="AO7" s="21" t="s">
        <v>45</v>
      </c>
      <c r="AP7">
        <f t="shared" si="8"/>
        <v>13</v>
      </c>
      <c r="AQ7">
        <f t="shared" si="9"/>
        <v>5</v>
      </c>
      <c r="AR7">
        <f t="shared" si="10"/>
        <v>0</v>
      </c>
      <c r="AS7">
        <f t="shared" si="11"/>
        <v>0</v>
      </c>
      <c r="AT7">
        <f t="shared" si="12"/>
        <v>3</v>
      </c>
      <c r="AU7">
        <f t="shared" si="13"/>
        <v>0</v>
      </c>
      <c r="AV7">
        <f t="shared" si="14"/>
        <v>0</v>
      </c>
      <c r="AW7">
        <f t="shared" si="15"/>
        <v>5</v>
      </c>
    </row>
    <row r="8" spans="2:49" x14ac:dyDescent="0.35">
      <c r="B8" s="19">
        <v>4</v>
      </c>
      <c r="C8" s="2">
        <v>224</v>
      </c>
      <c r="D8" s="2">
        <v>13</v>
      </c>
      <c r="G8" s="19" t="s">
        <v>51</v>
      </c>
      <c r="H8" s="2">
        <v>2</v>
      </c>
      <c r="I8" s="2">
        <v>7</v>
      </c>
      <c r="J8" s="2">
        <v>39</v>
      </c>
      <c r="K8" s="2">
        <v>94</v>
      </c>
      <c r="L8" s="2">
        <v>57</v>
      </c>
      <c r="M8" s="2">
        <v>19</v>
      </c>
      <c r="N8" s="2">
        <v>5</v>
      </c>
      <c r="O8" s="2">
        <v>223</v>
      </c>
      <c r="R8" s="21" t="s">
        <v>46</v>
      </c>
      <c r="S8">
        <f t="shared" si="7"/>
        <v>258</v>
      </c>
      <c r="T8">
        <f t="shared" si="0"/>
        <v>7</v>
      </c>
      <c r="U8">
        <f t="shared" si="1"/>
        <v>40</v>
      </c>
      <c r="V8">
        <f t="shared" si="2"/>
        <v>70</v>
      </c>
      <c r="W8">
        <f t="shared" si="3"/>
        <v>55</v>
      </c>
      <c r="X8">
        <f t="shared" si="4"/>
        <v>39</v>
      </c>
      <c r="Y8">
        <f t="shared" si="5"/>
        <v>20</v>
      </c>
      <c r="Z8">
        <f t="shared" si="6"/>
        <v>27</v>
      </c>
      <c r="AD8" s="19" t="s">
        <v>51</v>
      </c>
      <c r="AE8" s="2">
        <v>0</v>
      </c>
      <c r="AF8" s="2">
        <v>7</v>
      </c>
      <c r="AG8" s="2">
        <v>2</v>
      </c>
      <c r="AH8" s="2">
        <v>0</v>
      </c>
      <c r="AI8" s="2">
        <v>6</v>
      </c>
      <c r="AJ8" s="2">
        <v>0</v>
      </c>
      <c r="AK8" s="2">
        <v>0</v>
      </c>
      <c r="AL8" s="2">
        <v>15</v>
      </c>
      <c r="AO8" s="21" t="s">
        <v>46</v>
      </c>
      <c r="AP8">
        <f t="shared" si="8"/>
        <v>11</v>
      </c>
      <c r="AQ8">
        <f t="shared" si="9"/>
        <v>5</v>
      </c>
      <c r="AR8">
        <f t="shared" si="10"/>
        <v>1</v>
      </c>
      <c r="AS8">
        <f t="shared" si="11"/>
        <v>0</v>
      </c>
      <c r="AT8">
        <f t="shared" si="12"/>
        <v>0</v>
      </c>
      <c r="AU8">
        <f t="shared" si="13"/>
        <v>0</v>
      </c>
      <c r="AV8">
        <f t="shared" si="14"/>
        <v>0</v>
      </c>
      <c r="AW8">
        <f t="shared" si="15"/>
        <v>5</v>
      </c>
    </row>
    <row r="9" spans="2:49" x14ac:dyDescent="0.35">
      <c r="B9" s="19">
        <v>5</v>
      </c>
      <c r="C9" s="2">
        <v>258</v>
      </c>
      <c r="D9" s="2">
        <v>11</v>
      </c>
      <c r="G9" s="19" t="s">
        <v>52</v>
      </c>
      <c r="H9" s="2">
        <v>1</v>
      </c>
      <c r="I9" s="2">
        <v>19</v>
      </c>
      <c r="J9" s="2">
        <v>24</v>
      </c>
      <c r="K9" s="2">
        <v>56</v>
      </c>
      <c r="L9" s="2">
        <v>62</v>
      </c>
      <c r="M9" s="2">
        <v>7</v>
      </c>
      <c r="N9" s="2">
        <v>3</v>
      </c>
      <c r="O9" s="2">
        <v>172</v>
      </c>
      <c r="R9" s="20" t="s">
        <v>47</v>
      </c>
      <c r="S9">
        <f t="shared" si="7"/>
        <v>318</v>
      </c>
      <c r="T9">
        <f t="shared" si="0"/>
        <v>7</v>
      </c>
      <c r="U9">
        <f t="shared" si="1"/>
        <v>58</v>
      </c>
      <c r="V9">
        <f t="shared" si="2"/>
        <v>138</v>
      </c>
      <c r="W9">
        <f t="shared" si="3"/>
        <v>41</v>
      </c>
      <c r="X9">
        <f t="shared" si="4"/>
        <v>37</v>
      </c>
      <c r="Y9">
        <f t="shared" si="5"/>
        <v>2</v>
      </c>
      <c r="Z9">
        <f t="shared" si="6"/>
        <v>35</v>
      </c>
      <c r="AD9" s="19" t="s">
        <v>52</v>
      </c>
      <c r="AE9" s="2">
        <v>0</v>
      </c>
      <c r="AF9" s="2">
        <v>7</v>
      </c>
      <c r="AG9" s="2">
        <v>8</v>
      </c>
      <c r="AH9" s="2">
        <v>0</v>
      </c>
      <c r="AI9" s="2">
        <v>1</v>
      </c>
      <c r="AJ9" s="2">
        <v>0</v>
      </c>
      <c r="AK9" s="2">
        <v>0</v>
      </c>
      <c r="AL9" s="2">
        <v>16</v>
      </c>
      <c r="AO9" s="20" t="s">
        <v>47</v>
      </c>
      <c r="AP9">
        <f t="shared" si="8"/>
        <v>19</v>
      </c>
      <c r="AQ9">
        <f t="shared" si="9"/>
        <v>4</v>
      </c>
      <c r="AR9">
        <f t="shared" si="10"/>
        <v>0</v>
      </c>
      <c r="AS9">
        <f t="shared" si="11"/>
        <v>1</v>
      </c>
      <c r="AT9">
        <f t="shared" si="12"/>
        <v>9</v>
      </c>
      <c r="AU9">
        <f t="shared" si="13"/>
        <v>3</v>
      </c>
      <c r="AV9">
        <f t="shared" si="14"/>
        <v>0</v>
      </c>
      <c r="AW9">
        <f t="shared" si="15"/>
        <v>2</v>
      </c>
    </row>
    <row r="10" spans="2:49" x14ac:dyDescent="0.35">
      <c r="B10" s="19">
        <v>6</v>
      </c>
      <c r="C10" s="2">
        <v>318</v>
      </c>
      <c r="D10" s="2">
        <v>19</v>
      </c>
      <c r="G10" s="19" t="s">
        <v>53</v>
      </c>
      <c r="H10" s="2">
        <v>10</v>
      </c>
      <c r="I10" s="2">
        <v>20</v>
      </c>
      <c r="J10" s="2">
        <v>31</v>
      </c>
      <c r="K10" s="2">
        <v>26</v>
      </c>
      <c r="L10" s="2">
        <v>76</v>
      </c>
      <c r="M10" s="2">
        <v>18</v>
      </c>
      <c r="N10" s="2">
        <v>5</v>
      </c>
      <c r="O10" s="2">
        <v>186</v>
      </c>
      <c r="R10" s="20" t="s">
        <v>48</v>
      </c>
      <c r="S10">
        <f t="shared" si="7"/>
        <v>252</v>
      </c>
      <c r="T10">
        <f t="shared" si="0"/>
        <v>3</v>
      </c>
      <c r="U10">
        <f t="shared" si="1"/>
        <v>35</v>
      </c>
      <c r="V10">
        <f t="shared" si="2"/>
        <v>135</v>
      </c>
      <c r="W10">
        <f t="shared" si="3"/>
        <v>25</v>
      </c>
      <c r="X10">
        <f t="shared" si="4"/>
        <v>8</v>
      </c>
      <c r="Y10">
        <f t="shared" si="5"/>
        <v>9</v>
      </c>
      <c r="Z10">
        <f t="shared" si="6"/>
        <v>37</v>
      </c>
      <c r="AD10" s="19" t="s">
        <v>53</v>
      </c>
      <c r="AE10" s="2">
        <v>0</v>
      </c>
      <c r="AF10" s="2">
        <v>11</v>
      </c>
      <c r="AG10" s="2">
        <v>1</v>
      </c>
      <c r="AH10" s="2">
        <v>0</v>
      </c>
      <c r="AI10" s="2">
        <v>2</v>
      </c>
      <c r="AJ10" s="2">
        <v>0</v>
      </c>
      <c r="AK10" s="2">
        <v>0</v>
      </c>
      <c r="AL10" s="2">
        <v>14</v>
      </c>
      <c r="AO10" s="20" t="s">
        <v>48</v>
      </c>
      <c r="AP10">
        <f t="shared" si="8"/>
        <v>29</v>
      </c>
      <c r="AQ10">
        <f t="shared" si="9"/>
        <v>11</v>
      </c>
      <c r="AR10">
        <f t="shared" si="10"/>
        <v>2</v>
      </c>
      <c r="AS10">
        <f t="shared" si="11"/>
        <v>1</v>
      </c>
      <c r="AT10">
        <f t="shared" si="12"/>
        <v>7</v>
      </c>
      <c r="AU10">
        <f t="shared" si="13"/>
        <v>7</v>
      </c>
      <c r="AV10">
        <f t="shared" si="14"/>
        <v>0</v>
      </c>
      <c r="AW10">
        <f t="shared" si="15"/>
        <v>1</v>
      </c>
    </row>
    <row r="11" spans="2:49" x14ac:dyDescent="0.35">
      <c r="B11" s="19">
        <v>7</v>
      </c>
      <c r="C11" s="2">
        <v>252</v>
      </c>
      <c r="D11" s="2">
        <v>29</v>
      </c>
      <c r="G11" s="19" t="s">
        <v>54</v>
      </c>
      <c r="H11" s="2">
        <v>19</v>
      </c>
      <c r="I11" s="2">
        <v>20</v>
      </c>
      <c r="J11" s="2">
        <v>81</v>
      </c>
      <c r="K11" s="2">
        <v>39</v>
      </c>
      <c r="L11" s="2">
        <v>54</v>
      </c>
      <c r="M11" s="2">
        <v>15</v>
      </c>
      <c r="N11" s="2">
        <v>10</v>
      </c>
      <c r="O11" s="2">
        <v>238</v>
      </c>
      <c r="R11" s="20" t="s">
        <v>49</v>
      </c>
      <c r="S11">
        <f t="shared" si="7"/>
        <v>227</v>
      </c>
      <c r="T11">
        <f t="shared" si="0"/>
        <v>9</v>
      </c>
      <c r="U11">
        <f t="shared" si="1"/>
        <v>26</v>
      </c>
      <c r="V11">
        <f t="shared" si="2"/>
        <v>131</v>
      </c>
      <c r="W11">
        <f t="shared" si="3"/>
        <v>19</v>
      </c>
      <c r="X11">
        <f t="shared" si="4"/>
        <v>2</v>
      </c>
      <c r="Y11">
        <f t="shared" si="5"/>
        <v>1</v>
      </c>
      <c r="Z11">
        <f t="shared" si="6"/>
        <v>39</v>
      </c>
      <c r="AD11" s="19" t="s">
        <v>54</v>
      </c>
      <c r="AE11" s="2">
        <v>0</v>
      </c>
      <c r="AF11" s="2">
        <v>12</v>
      </c>
      <c r="AG11" s="2">
        <v>3</v>
      </c>
      <c r="AH11" s="2">
        <v>0</v>
      </c>
      <c r="AI11" s="2">
        <v>2</v>
      </c>
      <c r="AJ11" s="2">
        <v>0</v>
      </c>
      <c r="AK11" s="2">
        <v>0</v>
      </c>
      <c r="AL11" s="2">
        <v>17</v>
      </c>
      <c r="AO11" s="20" t="s">
        <v>49</v>
      </c>
      <c r="AP11">
        <f t="shared" si="8"/>
        <v>12</v>
      </c>
      <c r="AQ11">
        <f t="shared" si="9"/>
        <v>7</v>
      </c>
      <c r="AR11">
        <f t="shared" si="10"/>
        <v>0</v>
      </c>
      <c r="AS11">
        <f t="shared" si="11"/>
        <v>0</v>
      </c>
      <c r="AT11">
        <f t="shared" si="12"/>
        <v>5</v>
      </c>
      <c r="AU11">
        <f t="shared" si="13"/>
        <v>0</v>
      </c>
      <c r="AV11">
        <f t="shared" si="14"/>
        <v>0</v>
      </c>
      <c r="AW11">
        <f t="shared" si="15"/>
        <v>0</v>
      </c>
    </row>
    <row r="12" spans="2:49" x14ac:dyDescent="0.35">
      <c r="B12" s="19">
        <v>8</v>
      </c>
      <c r="C12" s="2">
        <v>227</v>
      </c>
      <c r="D12" s="2">
        <v>12</v>
      </c>
      <c r="G12" s="19" t="s">
        <v>43</v>
      </c>
      <c r="H12" s="2">
        <v>1</v>
      </c>
      <c r="I12" s="2">
        <v>34</v>
      </c>
      <c r="J12" s="2">
        <v>27</v>
      </c>
      <c r="K12" s="2">
        <v>34</v>
      </c>
      <c r="L12" s="2">
        <v>27</v>
      </c>
      <c r="M12" s="2">
        <v>34</v>
      </c>
      <c r="N12" s="2">
        <v>16</v>
      </c>
      <c r="O12" s="2">
        <v>173</v>
      </c>
      <c r="R12" s="20" t="s">
        <v>50</v>
      </c>
      <c r="S12">
        <f t="shared" si="7"/>
        <v>232</v>
      </c>
      <c r="T12">
        <f t="shared" si="0"/>
        <v>10</v>
      </c>
      <c r="U12">
        <f t="shared" si="1"/>
        <v>48</v>
      </c>
      <c r="V12">
        <f t="shared" si="2"/>
        <v>108</v>
      </c>
      <c r="W12">
        <f t="shared" si="3"/>
        <v>27</v>
      </c>
      <c r="X12">
        <f t="shared" si="4"/>
        <v>0</v>
      </c>
      <c r="Y12">
        <f t="shared" si="5"/>
        <v>2</v>
      </c>
      <c r="Z12">
        <f t="shared" si="6"/>
        <v>37</v>
      </c>
      <c r="AD12" s="19" t="s">
        <v>43</v>
      </c>
      <c r="AE12" s="2">
        <v>0</v>
      </c>
      <c r="AF12" s="2">
        <v>0</v>
      </c>
      <c r="AG12" s="2">
        <v>2</v>
      </c>
      <c r="AH12" s="2">
        <v>1</v>
      </c>
      <c r="AI12" s="2">
        <v>0</v>
      </c>
      <c r="AJ12" s="2">
        <v>0</v>
      </c>
      <c r="AK12" s="2">
        <v>2</v>
      </c>
      <c r="AL12" s="2">
        <v>5</v>
      </c>
      <c r="AO12" s="20" t="s">
        <v>50</v>
      </c>
      <c r="AP12">
        <f t="shared" si="8"/>
        <v>9</v>
      </c>
      <c r="AQ12">
        <f t="shared" si="9"/>
        <v>7</v>
      </c>
      <c r="AR12">
        <f t="shared" si="10"/>
        <v>0</v>
      </c>
      <c r="AS12">
        <f t="shared" si="11"/>
        <v>0</v>
      </c>
      <c r="AT12">
        <f t="shared" si="12"/>
        <v>0</v>
      </c>
      <c r="AU12">
        <f t="shared" si="13"/>
        <v>0</v>
      </c>
      <c r="AV12">
        <f t="shared" si="14"/>
        <v>0</v>
      </c>
      <c r="AW12">
        <f t="shared" si="15"/>
        <v>2</v>
      </c>
    </row>
    <row r="13" spans="2:49" x14ac:dyDescent="0.35">
      <c r="B13" s="19">
        <v>9</v>
      </c>
      <c r="C13" s="2">
        <v>232</v>
      </c>
      <c r="D13" s="2">
        <v>9</v>
      </c>
      <c r="G13" s="19" t="s">
        <v>44</v>
      </c>
      <c r="H13" s="2">
        <v>3</v>
      </c>
      <c r="I13" s="2">
        <v>40</v>
      </c>
      <c r="J13" s="2">
        <v>43</v>
      </c>
      <c r="K13" s="2">
        <v>40</v>
      </c>
      <c r="L13" s="2">
        <v>29</v>
      </c>
      <c r="M13" s="2">
        <v>21</v>
      </c>
      <c r="N13" s="2">
        <v>34</v>
      </c>
      <c r="O13" s="2">
        <v>210</v>
      </c>
      <c r="R13" s="20" t="s">
        <v>51</v>
      </c>
      <c r="S13">
        <f t="shared" si="7"/>
        <v>223</v>
      </c>
      <c r="T13">
        <f t="shared" si="0"/>
        <v>7</v>
      </c>
      <c r="U13">
        <f t="shared" si="1"/>
        <v>39</v>
      </c>
      <c r="V13">
        <f t="shared" si="2"/>
        <v>94</v>
      </c>
      <c r="W13">
        <f t="shared" si="3"/>
        <v>19</v>
      </c>
      <c r="X13">
        <f t="shared" si="4"/>
        <v>5</v>
      </c>
      <c r="Y13">
        <f t="shared" si="5"/>
        <v>2</v>
      </c>
      <c r="Z13">
        <f t="shared" si="6"/>
        <v>57</v>
      </c>
      <c r="AD13" s="19" t="s">
        <v>44</v>
      </c>
      <c r="AE13" s="2">
        <v>0</v>
      </c>
      <c r="AF13" s="2">
        <v>0</v>
      </c>
      <c r="AG13" s="2">
        <v>7</v>
      </c>
      <c r="AH13" s="2">
        <v>0</v>
      </c>
      <c r="AI13" s="2">
        <v>0</v>
      </c>
      <c r="AJ13" s="2">
        <v>8</v>
      </c>
      <c r="AK13" s="2">
        <v>2</v>
      </c>
      <c r="AL13" s="2">
        <v>17</v>
      </c>
      <c r="AO13" s="20" t="s">
        <v>51</v>
      </c>
      <c r="AP13">
        <f t="shared" si="8"/>
        <v>15</v>
      </c>
      <c r="AQ13">
        <f t="shared" si="9"/>
        <v>7</v>
      </c>
      <c r="AR13">
        <f t="shared" si="10"/>
        <v>2</v>
      </c>
      <c r="AS13">
        <f t="shared" si="11"/>
        <v>0</v>
      </c>
      <c r="AT13">
        <f t="shared" si="12"/>
        <v>0</v>
      </c>
      <c r="AU13">
        <f t="shared" si="13"/>
        <v>0</v>
      </c>
      <c r="AV13">
        <f t="shared" si="14"/>
        <v>0</v>
      </c>
      <c r="AW13">
        <f t="shared" si="15"/>
        <v>6</v>
      </c>
    </row>
    <row r="14" spans="2:49" x14ac:dyDescent="0.35">
      <c r="B14" s="19">
        <v>10</v>
      </c>
      <c r="C14" s="2">
        <v>223</v>
      </c>
      <c r="D14" s="2">
        <v>15</v>
      </c>
      <c r="G14" s="19" t="s">
        <v>45</v>
      </c>
      <c r="H14" s="2">
        <v>8</v>
      </c>
      <c r="I14" s="2">
        <v>42</v>
      </c>
      <c r="J14" s="2">
        <v>30</v>
      </c>
      <c r="K14" s="2">
        <v>45</v>
      </c>
      <c r="L14" s="2">
        <v>21</v>
      </c>
      <c r="M14" s="2">
        <v>42</v>
      </c>
      <c r="N14" s="2">
        <v>36</v>
      </c>
      <c r="O14" s="2">
        <v>224</v>
      </c>
      <c r="R14" s="20" t="s">
        <v>52</v>
      </c>
      <c r="S14">
        <f t="shared" si="7"/>
        <v>172</v>
      </c>
      <c r="T14">
        <f t="shared" si="0"/>
        <v>19</v>
      </c>
      <c r="U14">
        <f t="shared" si="1"/>
        <v>24</v>
      </c>
      <c r="V14">
        <f t="shared" si="2"/>
        <v>56</v>
      </c>
      <c r="W14">
        <f t="shared" si="3"/>
        <v>7</v>
      </c>
      <c r="X14">
        <f t="shared" si="4"/>
        <v>3</v>
      </c>
      <c r="Y14">
        <f t="shared" si="5"/>
        <v>1</v>
      </c>
      <c r="Z14">
        <f t="shared" si="6"/>
        <v>62</v>
      </c>
      <c r="AD14" s="19" t="s">
        <v>45</v>
      </c>
      <c r="AE14" s="2">
        <v>0</v>
      </c>
      <c r="AF14" s="2">
        <v>5</v>
      </c>
      <c r="AG14" s="2">
        <v>0</v>
      </c>
      <c r="AH14" s="2">
        <v>0</v>
      </c>
      <c r="AI14" s="2">
        <v>5</v>
      </c>
      <c r="AJ14" s="2">
        <v>3</v>
      </c>
      <c r="AK14" s="2">
        <v>0</v>
      </c>
      <c r="AL14" s="2">
        <v>13</v>
      </c>
      <c r="AO14" s="20" t="s">
        <v>52</v>
      </c>
      <c r="AP14">
        <f t="shared" si="8"/>
        <v>16</v>
      </c>
      <c r="AQ14">
        <f t="shared" si="9"/>
        <v>7</v>
      </c>
      <c r="AR14">
        <f t="shared" si="10"/>
        <v>8</v>
      </c>
      <c r="AS14">
        <f t="shared" si="11"/>
        <v>0</v>
      </c>
      <c r="AT14">
        <f t="shared" si="12"/>
        <v>0</v>
      </c>
      <c r="AU14">
        <f t="shared" si="13"/>
        <v>0</v>
      </c>
      <c r="AV14">
        <f t="shared" si="14"/>
        <v>0</v>
      </c>
      <c r="AW14">
        <f t="shared" si="15"/>
        <v>1</v>
      </c>
    </row>
    <row r="15" spans="2:49" x14ac:dyDescent="0.35">
      <c r="B15" s="19">
        <v>11</v>
      </c>
      <c r="C15" s="2">
        <v>172</v>
      </c>
      <c r="D15" s="2">
        <v>16</v>
      </c>
      <c r="G15" s="19" t="s">
        <v>46</v>
      </c>
      <c r="H15" s="2">
        <v>20</v>
      </c>
      <c r="I15" s="2">
        <v>7</v>
      </c>
      <c r="J15" s="2">
        <v>40</v>
      </c>
      <c r="K15" s="2">
        <v>70</v>
      </c>
      <c r="L15" s="2">
        <v>27</v>
      </c>
      <c r="M15" s="2">
        <v>55</v>
      </c>
      <c r="N15" s="2">
        <v>39</v>
      </c>
      <c r="O15" s="2">
        <v>258</v>
      </c>
      <c r="R15" s="20" t="s">
        <v>53</v>
      </c>
      <c r="S15">
        <f t="shared" si="7"/>
        <v>186</v>
      </c>
      <c r="T15">
        <f t="shared" si="0"/>
        <v>20</v>
      </c>
      <c r="U15">
        <f t="shared" si="1"/>
        <v>31</v>
      </c>
      <c r="V15">
        <f t="shared" si="2"/>
        <v>26</v>
      </c>
      <c r="W15">
        <f t="shared" si="3"/>
        <v>18</v>
      </c>
      <c r="X15">
        <f t="shared" si="4"/>
        <v>5</v>
      </c>
      <c r="Y15">
        <f t="shared" si="5"/>
        <v>10</v>
      </c>
      <c r="Z15">
        <f t="shared" si="6"/>
        <v>76</v>
      </c>
      <c r="AD15" s="19" t="s">
        <v>46</v>
      </c>
      <c r="AE15" s="2">
        <v>0</v>
      </c>
      <c r="AF15" s="2">
        <v>5</v>
      </c>
      <c r="AG15" s="2">
        <v>1</v>
      </c>
      <c r="AH15" s="2">
        <v>0</v>
      </c>
      <c r="AI15" s="2">
        <v>5</v>
      </c>
      <c r="AJ15" s="2">
        <v>0</v>
      </c>
      <c r="AK15" s="2">
        <v>0</v>
      </c>
      <c r="AL15" s="2">
        <v>11</v>
      </c>
      <c r="AO15" s="20" t="s">
        <v>53</v>
      </c>
      <c r="AP15">
        <f t="shared" si="8"/>
        <v>14</v>
      </c>
      <c r="AQ15">
        <f t="shared" si="9"/>
        <v>11</v>
      </c>
      <c r="AR15">
        <f t="shared" si="10"/>
        <v>1</v>
      </c>
      <c r="AS15">
        <f t="shared" si="11"/>
        <v>0</v>
      </c>
      <c r="AT15">
        <f t="shared" si="12"/>
        <v>0</v>
      </c>
      <c r="AU15">
        <f t="shared" si="13"/>
        <v>0</v>
      </c>
      <c r="AV15">
        <f t="shared" si="14"/>
        <v>0</v>
      </c>
      <c r="AW15">
        <f t="shared" si="15"/>
        <v>2</v>
      </c>
    </row>
    <row r="16" spans="2:49" x14ac:dyDescent="0.35">
      <c r="B16" s="19">
        <v>12</v>
      </c>
      <c r="C16" s="2">
        <v>186</v>
      </c>
      <c r="D16" s="2">
        <v>14</v>
      </c>
      <c r="G16" s="19" t="s">
        <v>47</v>
      </c>
      <c r="H16" s="2">
        <v>2</v>
      </c>
      <c r="I16" s="2">
        <v>7</v>
      </c>
      <c r="J16" s="2">
        <v>58</v>
      </c>
      <c r="K16" s="2">
        <v>138</v>
      </c>
      <c r="L16" s="2">
        <v>35</v>
      </c>
      <c r="M16" s="2">
        <v>41</v>
      </c>
      <c r="N16" s="2">
        <v>37</v>
      </c>
      <c r="O16" s="2">
        <v>318</v>
      </c>
      <c r="R16" s="20" t="s">
        <v>54</v>
      </c>
      <c r="S16">
        <f t="shared" si="7"/>
        <v>238</v>
      </c>
      <c r="T16">
        <f t="shared" si="0"/>
        <v>20</v>
      </c>
      <c r="U16">
        <f t="shared" si="1"/>
        <v>81</v>
      </c>
      <c r="V16">
        <f t="shared" si="2"/>
        <v>39</v>
      </c>
      <c r="W16">
        <f t="shared" si="3"/>
        <v>15</v>
      </c>
      <c r="X16">
        <f t="shared" si="4"/>
        <v>10</v>
      </c>
      <c r="Y16">
        <f t="shared" si="5"/>
        <v>19</v>
      </c>
      <c r="Z16">
        <f t="shared" si="6"/>
        <v>54</v>
      </c>
      <c r="AD16" s="19" t="s">
        <v>47</v>
      </c>
      <c r="AE16" s="2">
        <v>0</v>
      </c>
      <c r="AF16" s="2">
        <v>4</v>
      </c>
      <c r="AG16" s="2">
        <v>0</v>
      </c>
      <c r="AH16" s="2">
        <v>1</v>
      </c>
      <c r="AI16" s="2">
        <v>2</v>
      </c>
      <c r="AJ16" s="2">
        <v>9</v>
      </c>
      <c r="AK16" s="2">
        <v>3</v>
      </c>
      <c r="AL16" s="2">
        <v>19</v>
      </c>
      <c r="AO16" s="20" t="s">
        <v>54</v>
      </c>
      <c r="AP16">
        <f t="shared" si="8"/>
        <v>17</v>
      </c>
      <c r="AQ16">
        <f t="shared" si="9"/>
        <v>12</v>
      </c>
      <c r="AR16">
        <f t="shared" si="10"/>
        <v>3</v>
      </c>
      <c r="AS16">
        <f t="shared" si="11"/>
        <v>0</v>
      </c>
      <c r="AT16">
        <f t="shared" si="12"/>
        <v>0</v>
      </c>
      <c r="AU16">
        <f>VLOOKUP($R16,$G$7:$O$1048576,8,0)</f>
        <v>10</v>
      </c>
      <c r="AV16">
        <f t="shared" si="14"/>
        <v>0</v>
      </c>
      <c r="AW16">
        <f t="shared" si="15"/>
        <v>2</v>
      </c>
    </row>
    <row r="17" spans="2:38" x14ac:dyDescent="0.35">
      <c r="B17" s="19">
        <v>13</v>
      </c>
      <c r="C17" s="2">
        <v>238</v>
      </c>
      <c r="D17" s="2">
        <v>17</v>
      </c>
      <c r="G17" s="19" t="s">
        <v>48</v>
      </c>
      <c r="H17" s="2">
        <v>9</v>
      </c>
      <c r="I17" s="2">
        <v>3</v>
      </c>
      <c r="J17" s="2">
        <v>35</v>
      </c>
      <c r="K17" s="2">
        <v>135</v>
      </c>
      <c r="L17" s="2">
        <v>37</v>
      </c>
      <c r="M17" s="2">
        <v>25</v>
      </c>
      <c r="N17" s="2">
        <v>8</v>
      </c>
      <c r="O17" s="2">
        <v>252</v>
      </c>
      <c r="AD17" s="19" t="s">
        <v>48</v>
      </c>
      <c r="AE17" s="2">
        <v>0</v>
      </c>
      <c r="AF17" s="2">
        <v>11</v>
      </c>
      <c r="AG17" s="2">
        <v>2</v>
      </c>
      <c r="AH17" s="2">
        <v>1</v>
      </c>
      <c r="AI17" s="2">
        <v>1</v>
      </c>
      <c r="AJ17" s="2">
        <v>7</v>
      </c>
      <c r="AK17" s="2">
        <v>7</v>
      </c>
      <c r="AL17" s="2">
        <v>29</v>
      </c>
    </row>
    <row r="18" spans="2:38" x14ac:dyDescent="0.35">
      <c r="B18" s="19" t="s">
        <v>38</v>
      </c>
      <c r="C18" s="2">
        <v>2931</v>
      </c>
      <c r="D18" s="2">
        <v>195</v>
      </c>
      <c r="G18" s="19" t="s">
        <v>49</v>
      </c>
      <c r="H18" s="2">
        <v>1</v>
      </c>
      <c r="I18" s="2">
        <v>9</v>
      </c>
      <c r="J18" s="2">
        <v>26</v>
      </c>
      <c r="K18" s="2">
        <v>131</v>
      </c>
      <c r="L18" s="2">
        <v>39</v>
      </c>
      <c r="M18" s="2">
        <v>19</v>
      </c>
      <c r="N18" s="2">
        <v>2</v>
      </c>
      <c r="O18" s="2">
        <v>227</v>
      </c>
      <c r="AD18" s="19" t="s">
        <v>49</v>
      </c>
      <c r="AE18" s="2">
        <v>0</v>
      </c>
      <c r="AF18" s="2">
        <v>7</v>
      </c>
      <c r="AG18" s="2">
        <v>0</v>
      </c>
      <c r="AH18" s="2">
        <v>0</v>
      </c>
      <c r="AI18" s="2">
        <v>0</v>
      </c>
      <c r="AJ18" s="2">
        <v>5</v>
      </c>
      <c r="AK18" s="2">
        <v>0</v>
      </c>
      <c r="AL18" s="2">
        <v>12</v>
      </c>
    </row>
    <row r="19" spans="2:38" x14ac:dyDescent="0.35">
      <c r="G19" s="19" t="s">
        <v>50</v>
      </c>
      <c r="H19" s="2">
        <v>2</v>
      </c>
      <c r="I19" s="2">
        <v>10</v>
      </c>
      <c r="J19" s="2">
        <v>48</v>
      </c>
      <c r="K19" s="2">
        <v>108</v>
      </c>
      <c r="L19" s="2">
        <v>37</v>
      </c>
      <c r="M19" s="2">
        <v>27</v>
      </c>
      <c r="N19" s="2">
        <v>0</v>
      </c>
      <c r="O19" s="2">
        <v>232</v>
      </c>
      <c r="AD19" s="19" t="s">
        <v>50</v>
      </c>
      <c r="AE19" s="2">
        <v>0</v>
      </c>
      <c r="AF19" s="2">
        <v>7</v>
      </c>
      <c r="AG19" s="2">
        <v>0</v>
      </c>
      <c r="AH19" s="2">
        <v>0</v>
      </c>
      <c r="AI19" s="2">
        <v>2</v>
      </c>
      <c r="AJ19" s="2">
        <v>0</v>
      </c>
      <c r="AK19" s="2">
        <v>0</v>
      </c>
      <c r="AL19" s="2">
        <v>9</v>
      </c>
    </row>
    <row r="20" spans="2:38" x14ac:dyDescent="0.35">
      <c r="G20" s="19" t="s">
        <v>38</v>
      </c>
      <c r="H20" s="2">
        <v>78</v>
      </c>
      <c r="I20" s="2">
        <v>231</v>
      </c>
      <c r="J20" s="2">
        <v>495</v>
      </c>
      <c r="K20" s="2">
        <v>951</v>
      </c>
      <c r="L20" s="2">
        <v>557</v>
      </c>
      <c r="M20" s="2">
        <v>394</v>
      </c>
      <c r="N20" s="2">
        <v>225</v>
      </c>
      <c r="O20" s="2">
        <v>2931</v>
      </c>
      <c r="AD20" s="19" t="s">
        <v>38</v>
      </c>
      <c r="AE20" s="2">
        <v>0</v>
      </c>
      <c r="AF20" s="2">
        <v>79</v>
      </c>
      <c r="AG20" s="2">
        <v>30</v>
      </c>
      <c r="AH20" s="2">
        <v>12</v>
      </c>
      <c r="AI20" s="2">
        <v>26</v>
      </c>
      <c r="AJ20" s="2">
        <v>32</v>
      </c>
      <c r="AK20" s="2">
        <v>16</v>
      </c>
      <c r="AL20" s="2">
        <v>195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W20"/>
  <sheetViews>
    <sheetView topLeftCell="AF1" zoomScale="80" zoomScaleNormal="80" workbookViewId="0">
      <selection activeCell="AG7" sqref="AG7"/>
    </sheetView>
  </sheetViews>
  <sheetFormatPr defaultRowHeight="14.5" x14ac:dyDescent="0.35"/>
  <cols>
    <col min="2" max="2" width="13.6328125" bestFit="1" customWidth="1"/>
    <col min="3" max="3" width="27.36328125" bestFit="1" customWidth="1"/>
    <col min="4" max="4" width="32.81640625" bestFit="1" customWidth="1"/>
    <col min="5" max="5" width="27.453125" bestFit="1" customWidth="1"/>
    <col min="7" max="7" width="27.36328125" bestFit="1" customWidth="1"/>
    <col min="8" max="8" width="16.1796875" bestFit="1" customWidth="1"/>
    <col min="9" max="9" width="7.08984375" bestFit="1" customWidth="1"/>
    <col min="10" max="10" width="8.81640625" bestFit="1" customWidth="1"/>
    <col min="11" max="11" width="22.453125" bestFit="1" customWidth="1"/>
    <col min="12" max="12" width="10.90625" bestFit="1" customWidth="1"/>
    <col min="13" max="13" width="10.08984375" bestFit="1" customWidth="1"/>
    <col min="14" max="14" width="10.90625" bestFit="1" customWidth="1"/>
    <col min="15" max="15" width="11" bestFit="1" customWidth="1"/>
    <col min="16" max="16" width="17.6328125" bestFit="1" customWidth="1"/>
    <col min="17" max="17" width="27.453125" bestFit="1" customWidth="1"/>
    <col min="18" max="18" width="17.6328125" bestFit="1" customWidth="1"/>
    <col min="19" max="19" width="27.453125" bestFit="1" customWidth="1"/>
    <col min="20" max="20" width="17.6328125" bestFit="1" customWidth="1"/>
    <col min="21" max="21" width="27.453125" bestFit="1" customWidth="1"/>
    <col min="22" max="22" width="22.453125" bestFit="1" customWidth="1"/>
    <col min="23" max="23" width="32.36328125" bestFit="1" customWidth="1"/>
    <col min="30" max="30" width="32.81640625" bestFit="1" customWidth="1"/>
    <col min="31" max="31" width="16.1796875" bestFit="1" customWidth="1"/>
    <col min="32" max="32" width="7.08984375" bestFit="1" customWidth="1"/>
    <col min="33" max="33" width="8.81640625" bestFit="1" customWidth="1"/>
    <col min="34" max="34" width="22.453125" bestFit="1" customWidth="1"/>
    <col min="35" max="35" width="10.90625" bestFit="1" customWidth="1"/>
    <col min="36" max="36" width="10.08984375" bestFit="1" customWidth="1"/>
    <col min="37" max="37" width="10.90625" bestFit="1" customWidth="1"/>
    <col min="38" max="38" width="11" bestFit="1" customWidth="1"/>
  </cols>
  <sheetData>
    <row r="2" spans="2:49" x14ac:dyDescent="0.35">
      <c r="B2" s="18" t="s">
        <v>39</v>
      </c>
      <c r="C2" t="s" vm="1">
        <v>334</v>
      </c>
    </row>
    <row r="3" spans="2:49" x14ac:dyDescent="0.35">
      <c r="G3" s="18" t="s">
        <v>39</v>
      </c>
      <c r="H3" t="s" vm="1">
        <v>334</v>
      </c>
      <c r="S3" t="s">
        <v>40</v>
      </c>
      <c r="T3" t="s">
        <v>1</v>
      </c>
      <c r="U3" t="s">
        <v>220</v>
      </c>
      <c r="V3" t="s">
        <v>249</v>
      </c>
      <c r="W3" t="s">
        <v>217</v>
      </c>
      <c r="X3" t="s">
        <v>218</v>
      </c>
      <c r="Y3" t="s">
        <v>252</v>
      </c>
      <c r="Z3" t="s">
        <v>251</v>
      </c>
      <c r="AD3" s="18" t="s">
        <v>39</v>
      </c>
      <c r="AE3" t="s" vm="1">
        <v>334</v>
      </c>
      <c r="AP3" t="s">
        <v>40</v>
      </c>
      <c r="AQ3" t="s">
        <v>1</v>
      </c>
      <c r="AR3" t="s">
        <v>220</v>
      </c>
      <c r="AS3" t="s">
        <v>249</v>
      </c>
      <c r="AT3" t="s">
        <v>217</v>
      </c>
      <c r="AU3" t="s">
        <v>218</v>
      </c>
      <c r="AV3" t="s">
        <v>252</v>
      </c>
      <c r="AW3" t="s">
        <v>251</v>
      </c>
    </row>
    <row r="4" spans="2:49" x14ac:dyDescent="0.35">
      <c r="B4" s="18" t="s">
        <v>37</v>
      </c>
      <c r="C4" t="s">
        <v>341</v>
      </c>
      <c r="D4" t="s">
        <v>342</v>
      </c>
      <c r="R4" s="21" t="s">
        <v>42</v>
      </c>
      <c r="S4">
        <f>VLOOKUP(R4,$G$7:$O$1048576,9,0)</f>
        <v>171</v>
      </c>
      <c r="T4">
        <f t="shared" ref="T4:T16" si="0">VLOOKUP($R4,$G$7:$O$1048576,3,0)</f>
        <v>0</v>
      </c>
      <c r="U4">
        <f t="shared" ref="U4:U16" si="1">VLOOKUP($R4,$G$7:$O$1048576,4,0)</f>
        <v>34</v>
      </c>
      <c r="V4">
        <f t="shared" ref="V4:V16" si="2">VLOOKUP($R4,$G$7:$O$1048576,5,0)</f>
        <v>7</v>
      </c>
      <c r="W4">
        <f t="shared" ref="W4:W16" si="3">VLOOKUP($R4,$G$7:$O$1048576,7,0)</f>
        <v>58</v>
      </c>
      <c r="X4">
        <f t="shared" ref="X4:X16" si="4">VLOOKUP($R4,$G$7:$O$1048576,8,0)</f>
        <v>47</v>
      </c>
      <c r="Y4">
        <f t="shared" ref="Y4:Y16" si="5">VLOOKUP($R4,$G$7:$O$1048576,2,0)</f>
        <v>8</v>
      </c>
      <c r="Z4">
        <f t="shared" ref="Z4:Z16" si="6">VLOOKUP($R4,$G$7:$O$1048576,6,0)</f>
        <v>17</v>
      </c>
      <c r="AO4" s="21" t="s">
        <v>42</v>
      </c>
      <c r="AP4">
        <f>VLOOKUP(AO4,$AD$7:$AL$1048576,9,0)</f>
        <v>16</v>
      </c>
      <c r="AQ4">
        <f>VLOOKUP($R4,$AD$7:$AL$1048576,3,0)</f>
        <v>0</v>
      </c>
      <c r="AR4">
        <f>VLOOKUP($R4,$AD$7:$AL$1048576,4,0)</f>
        <v>2</v>
      </c>
      <c r="AS4">
        <f>VLOOKUP($R4,$AD$7:$AL$1048576,5,0)</f>
        <v>0</v>
      </c>
      <c r="AT4">
        <f>VLOOKUP($R4,$AD$7:$AL$1048576,7,0)</f>
        <v>12</v>
      </c>
      <c r="AU4">
        <f>VLOOKUP($R4,$AD$7:$AL$1048576,8,0)</f>
        <v>0</v>
      </c>
      <c r="AV4">
        <f>VLOOKUP($R4,$AD$7:$AL$1048576,2,0)</f>
        <v>0</v>
      </c>
      <c r="AW4">
        <f>VLOOKUP($R4,$AD$7:$AL$1048576,6,0)</f>
        <v>2</v>
      </c>
    </row>
    <row r="5" spans="2:49" x14ac:dyDescent="0.35">
      <c r="B5" s="19">
        <v>1</v>
      </c>
      <c r="C5" s="2">
        <v>171</v>
      </c>
      <c r="D5" s="2">
        <v>16</v>
      </c>
      <c r="G5" s="18" t="s">
        <v>341</v>
      </c>
      <c r="H5" s="18" t="s">
        <v>41</v>
      </c>
      <c r="R5" s="21" t="s">
        <v>43</v>
      </c>
      <c r="S5">
        <f t="shared" ref="S5:S16" si="7">VLOOKUP(R5,$G$7:$O$1048576,9,0)</f>
        <v>162</v>
      </c>
      <c r="T5">
        <f t="shared" si="0"/>
        <v>9</v>
      </c>
      <c r="U5">
        <f t="shared" si="1"/>
        <v>14</v>
      </c>
      <c r="V5">
        <f t="shared" si="2"/>
        <v>16</v>
      </c>
      <c r="W5">
        <f t="shared" si="3"/>
        <v>66</v>
      </c>
      <c r="X5">
        <f t="shared" si="4"/>
        <v>33</v>
      </c>
      <c r="Y5">
        <f t="shared" si="5"/>
        <v>7</v>
      </c>
      <c r="Z5">
        <f t="shared" si="6"/>
        <v>17</v>
      </c>
      <c r="AD5" s="18" t="s">
        <v>342</v>
      </c>
      <c r="AE5" s="18" t="s">
        <v>41</v>
      </c>
      <c r="AO5" s="21" t="s">
        <v>43</v>
      </c>
      <c r="AP5">
        <f t="shared" ref="AP5:AP16" si="8">VLOOKUP(AO5,$AD$7:$AL$1048576,9,0)</f>
        <v>4</v>
      </c>
      <c r="AQ5">
        <f t="shared" ref="AQ5:AQ16" si="9">VLOOKUP($R5,$AD$7:$AL$1048576,3,0)</f>
        <v>0</v>
      </c>
      <c r="AR5">
        <f t="shared" ref="AR5:AR16" si="10">VLOOKUP($R5,$AD$7:$AL$1048576,4,0)</f>
        <v>0</v>
      </c>
      <c r="AS5">
        <f t="shared" ref="AS5:AS16" si="11">VLOOKUP($R5,$AD$7:$AL$1048576,5,0)</f>
        <v>0</v>
      </c>
      <c r="AT5">
        <f t="shared" ref="AT5:AT16" si="12">VLOOKUP($R5,$AD$7:$AL$1048576,7,0)</f>
        <v>4</v>
      </c>
      <c r="AU5">
        <f t="shared" ref="AU5:AU15" si="13">VLOOKUP($R5,$AD$7:$AL$1048576,8,0)</f>
        <v>0</v>
      </c>
      <c r="AV5">
        <f t="shared" ref="AV5:AV16" si="14">VLOOKUP($R5,$AD$7:$AL$1048576,2,0)</f>
        <v>0</v>
      </c>
      <c r="AW5">
        <f t="shared" ref="AW5:AW16" si="15">VLOOKUP($R5,$AD$7:$AL$1048576,6,0)</f>
        <v>0</v>
      </c>
    </row>
    <row r="6" spans="2:49" x14ac:dyDescent="0.35">
      <c r="B6" s="19">
        <v>2</v>
      </c>
      <c r="C6" s="2">
        <v>162</v>
      </c>
      <c r="D6" s="2">
        <v>4</v>
      </c>
      <c r="G6" s="18" t="s">
        <v>37</v>
      </c>
      <c r="H6" t="s">
        <v>282</v>
      </c>
      <c r="I6" t="s">
        <v>1</v>
      </c>
      <c r="J6" t="s">
        <v>220</v>
      </c>
      <c r="K6" t="s">
        <v>253</v>
      </c>
      <c r="L6" t="s">
        <v>250</v>
      </c>
      <c r="M6" t="s">
        <v>217</v>
      </c>
      <c r="N6" t="s">
        <v>218</v>
      </c>
      <c r="O6" t="s">
        <v>38</v>
      </c>
      <c r="R6" s="21" t="s">
        <v>44</v>
      </c>
      <c r="S6">
        <f t="shared" si="7"/>
        <v>173</v>
      </c>
      <c r="T6">
        <f t="shared" si="0"/>
        <v>14</v>
      </c>
      <c r="U6">
        <f t="shared" si="1"/>
        <v>7</v>
      </c>
      <c r="V6">
        <f t="shared" si="2"/>
        <v>15</v>
      </c>
      <c r="W6">
        <f t="shared" si="3"/>
        <v>61</v>
      </c>
      <c r="X6">
        <f t="shared" si="4"/>
        <v>36</v>
      </c>
      <c r="Y6">
        <f t="shared" si="5"/>
        <v>17</v>
      </c>
      <c r="Z6">
        <f t="shared" si="6"/>
        <v>23</v>
      </c>
      <c r="AD6" s="18" t="s">
        <v>37</v>
      </c>
      <c r="AE6" t="s">
        <v>282</v>
      </c>
      <c r="AF6" t="s">
        <v>1</v>
      </c>
      <c r="AG6" t="s">
        <v>220</v>
      </c>
      <c r="AH6" t="s">
        <v>253</v>
      </c>
      <c r="AI6" t="s">
        <v>250</v>
      </c>
      <c r="AJ6" t="s">
        <v>217</v>
      </c>
      <c r="AK6" t="s">
        <v>218</v>
      </c>
      <c r="AL6" t="s">
        <v>38</v>
      </c>
      <c r="AO6" s="21" t="s">
        <v>44</v>
      </c>
      <c r="AP6">
        <f t="shared" si="8"/>
        <v>13</v>
      </c>
      <c r="AQ6">
        <f t="shared" si="9"/>
        <v>0</v>
      </c>
      <c r="AR6">
        <f t="shared" si="10"/>
        <v>0</v>
      </c>
      <c r="AS6">
        <f t="shared" si="11"/>
        <v>5</v>
      </c>
      <c r="AT6">
        <f t="shared" si="12"/>
        <v>8</v>
      </c>
      <c r="AU6">
        <f t="shared" si="13"/>
        <v>0</v>
      </c>
      <c r="AV6">
        <f t="shared" si="14"/>
        <v>0</v>
      </c>
      <c r="AW6">
        <f t="shared" si="15"/>
        <v>0</v>
      </c>
    </row>
    <row r="7" spans="2:49" x14ac:dyDescent="0.35">
      <c r="B7" s="19">
        <v>3</v>
      </c>
      <c r="C7" s="2">
        <v>173</v>
      </c>
      <c r="D7" s="2">
        <v>13</v>
      </c>
      <c r="G7" s="19" t="s">
        <v>42</v>
      </c>
      <c r="H7" s="2">
        <v>8</v>
      </c>
      <c r="I7" s="2">
        <v>0</v>
      </c>
      <c r="J7" s="2">
        <v>34</v>
      </c>
      <c r="K7" s="2">
        <v>7</v>
      </c>
      <c r="L7" s="2">
        <v>17</v>
      </c>
      <c r="M7" s="2">
        <v>58</v>
      </c>
      <c r="N7" s="2">
        <v>47</v>
      </c>
      <c r="O7" s="2">
        <v>171</v>
      </c>
      <c r="R7" s="21" t="s">
        <v>45</v>
      </c>
      <c r="S7">
        <f t="shared" si="7"/>
        <v>93</v>
      </c>
      <c r="T7">
        <f t="shared" si="0"/>
        <v>1</v>
      </c>
      <c r="U7">
        <f t="shared" si="1"/>
        <v>5</v>
      </c>
      <c r="V7">
        <f t="shared" si="2"/>
        <v>17</v>
      </c>
      <c r="W7">
        <f t="shared" si="3"/>
        <v>37</v>
      </c>
      <c r="X7">
        <f t="shared" si="4"/>
        <v>25</v>
      </c>
      <c r="Y7">
        <f t="shared" si="5"/>
        <v>2</v>
      </c>
      <c r="Z7">
        <f t="shared" si="6"/>
        <v>6</v>
      </c>
      <c r="AD7" s="19" t="s">
        <v>42</v>
      </c>
      <c r="AE7" s="2">
        <v>0</v>
      </c>
      <c r="AF7" s="2">
        <v>0</v>
      </c>
      <c r="AG7" s="2">
        <v>2</v>
      </c>
      <c r="AH7" s="2">
        <v>0</v>
      </c>
      <c r="AI7" s="2">
        <v>2</v>
      </c>
      <c r="AJ7" s="2">
        <v>12</v>
      </c>
      <c r="AK7" s="2">
        <v>0</v>
      </c>
      <c r="AL7" s="2">
        <v>16</v>
      </c>
      <c r="AO7" s="21" t="s">
        <v>45</v>
      </c>
      <c r="AP7">
        <f t="shared" si="8"/>
        <v>3</v>
      </c>
      <c r="AQ7">
        <f t="shared" si="9"/>
        <v>0</v>
      </c>
      <c r="AR7">
        <f t="shared" si="10"/>
        <v>0</v>
      </c>
      <c r="AS7">
        <f t="shared" si="11"/>
        <v>0</v>
      </c>
      <c r="AT7">
        <f t="shared" si="12"/>
        <v>3</v>
      </c>
      <c r="AU7">
        <f t="shared" si="13"/>
        <v>0</v>
      </c>
      <c r="AV7">
        <f t="shared" si="14"/>
        <v>0</v>
      </c>
      <c r="AW7">
        <f t="shared" si="15"/>
        <v>0</v>
      </c>
    </row>
    <row r="8" spans="2:49" x14ac:dyDescent="0.35">
      <c r="B8" s="19">
        <v>4</v>
      </c>
      <c r="C8" s="2">
        <v>93</v>
      </c>
      <c r="D8" s="2">
        <v>3</v>
      </c>
      <c r="G8" s="19" t="s">
        <v>51</v>
      </c>
      <c r="H8" s="2">
        <v>0</v>
      </c>
      <c r="I8" s="2">
        <v>0</v>
      </c>
      <c r="J8" s="2">
        <v>1</v>
      </c>
      <c r="K8" s="2">
        <v>2</v>
      </c>
      <c r="L8" s="2">
        <v>6</v>
      </c>
      <c r="M8" s="2">
        <v>11</v>
      </c>
      <c r="N8" s="2">
        <v>1</v>
      </c>
      <c r="O8" s="2">
        <v>21</v>
      </c>
      <c r="R8" s="21" t="s">
        <v>46</v>
      </c>
      <c r="S8">
        <f t="shared" si="7"/>
        <v>148</v>
      </c>
      <c r="T8">
        <f t="shared" si="0"/>
        <v>2</v>
      </c>
      <c r="U8">
        <f t="shared" si="1"/>
        <v>27</v>
      </c>
      <c r="V8">
        <f t="shared" si="2"/>
        <v>21</v>
      </c>
      <c r="W8">
        <f t="shared" si="3"/>
        <v>12</v>
      </c>
      <c r="X8">
        <f t="shared" si="4"/>
        <v>41</v>
      </c>
      <c r="Y8">
        <f t="shared" si="5"/>
        <v>9</v>
      </c>
      <c r="Z8">
        <f t="shared" si="6"/>
        <v>36</v>
      </c>
      <c r="AD8" s="19" t="s">
        <v>51</v>
      </c>
      <c r="AE8" s="2">
        <v>0</v>
      </c>
      <c r="AF8" s="2">
        <v>0</v>
      </c>
      <c r="AG8" s="2">
        <v>0</v>
      </c>
      <c r="AH8" s="2">
        <v>0</v>
      </c>
      <c r="AI8" s="2">
        <v>0</v>
      </c>
      <c r="AJ8" s="2">
        <v>3</v>
      </c>
      <c r="AK8" s="2">
        <v>0</v>
      </c>
      <c r="AL8" s="2">
        <v>3</v>
      </c>
      <c r="AO8" s="21" t="s">
        <v>46</v>
      </c>
      <c r="AP8">
        <f t="shared" si="8"/>
        <v>11</v>
      </c>
      <c r="AQ8">
        <f t="shared" si="9"/>
        <v>0</v>
      </c>
      <c r="AR8">
        <f t="shared" si="10"/>
        <v>4</v>
      </c>
      <c r="AS8">
        <f t="shared" si="11"/>
        <v>0</v>
      </c>
      <c r="AT8">
        <f t="shared" si="12"/>
        <v>0</v>
      </c>
      <c r="AU8">
        <f t="shared" si="13"/>
        <v>0</v>
      </c>
      <c r="AV8">
        <f t="shared" si="14"/>
        <v>0</v>
      </c>
      <c r="AW8">
        <f t="shared" si="15"/>
        <v>7</v>
      </c>
    </row>
    <row r="9" spans="2:49" x14ac:dyDescent="0.35">
      <c r="B9" s="19">
        <v>5</v>
      </c>
      <c r="C9" s="2">
        <v>148</v>
      </c>
      <c r="D9" s="2">
        <v>11</v>
      </c>
      <c r="G9" s="19" t="s">
        <v>52</v>
      </c>
      <c r="H9" s="2">
        <v>1</v>
      </c>
      <c r="I9" s="2">
        <v>8</v>
      </c>
      <c r="J9" s="2">
        <v>1</v>
      </c>
      <c r="K9" s="2">
        <v>6</v>
      </c>
      <c r="L9" s="2">
        <v>6</v>
      </c>
      <c r="M9" s="2">
        <v>8</v>
      </c>
      <c r="N9" s="2">
        <v>6</v>
      </c>
      <c r="O9" s="2">
        <v>36</v>
      </c>
      <c r="R9" s="20" t="s">
        <v>47</v>
      </c>
      <c r="S9">
        <f t="shared" si="7"/>
        <v>86</v>
      </c>
      <c r="T9">
        <f t="shared" si="0"/>
        <v>0</v>
      </c>
      <c r="U9">
        <f t="shared" si="1"/>
        <v>10</v>
      </c>
      <c r="V9">
        <f t="shared" si="2"/>
        <v>18</v>
      </c>
      <c r="W9">
        <f t="shared" si="3"/>
        <v>15</v>
      </c>
      <c r="X9">
        <f t="shared" si="4"/>
        <v>34</v>
      </c>
      <c r="Y9">
        <f t="shared" si="5"/>
        <v>0</v>
      </c>
      <c r="Z9">
        <f t="shared" si="6"/>
        <v>9</v>
      </c>
      <c r="AD9" s="19" t="s">
        <v>52</v>
      </c>
      <c r="AE9" s="2">
        <v>0</v>
      </c>
      <c r="AF9" s="2">
        <v>0</v>
      </c>
      <c r="AG9" s="2">
        <v>0</v>
      </c>
      <c r="AH9" s="2">
        <v>0</v>
      </c>
      <c r="AI9" s="2">
        <v>0</v>
      </c>
      <c r="AJ9" s="2">
        <v>3</v>
      </c>
      <c r="AK9" s="2">
        <v>0</v>
      </c>
      <c r="AL9" s="2">
        <v>3</v>
      </c>
      <c r="AO9" s="20" t="s">
        <v>47</v>
      </c>
      <c r="AP9">
        <f t="shared" si="8"/>
        <v>4</v>
      </c>
      <c r="AQ9">
        <f t="shared" si="9"/>
        <v>0</v>
      </c>
      <c r="AR9">
        <f t="shared" si="10"/>
        <v>0</v>
      </c>
      <c r="AS9">
        <f t="shared" si="11"/>
        <v>2</v>
      </c>
      <c r="AT9">
        <f t="shared" si="12"/>
        <v>2</v>
      </c>
      <c r="AU9">
        <f t="shared" si="13"/>
        <v>0</v>
      </c>
      <c r="AV9">
        <f t="shared" si="14"/>
        <v>0</v>
      </c>
      <c r="AW9">
        <f t="shared" si="15"/>
        <v>0</v>
      </c>
    </row>
    <row r="10" spans="2:49" x14ac:dyDescent="0.35">
      <c r="B10" s="19">
        <v>6</v>
      </c>
      <c r="C10" s="2">
        <v>86</v>
      </c>
      <c r="D10" s="2">
        <v>4</v>
      </c>
      <c r="G10" s="19" t="s">
        <v>53</v>
      </c>
      <c r="H10" s="2">
        <v>1</v>
      </c>
      <c r="I10" s="2">
        <v>5</v>
      </c>
      <c r="J10" s="2">
        <v>0</v>
      </c>
      <c r="K10" s="2">
        <v>14</v>
      </c>
      <c r="L10" s="2">
        <v>20</v>
      </c>
      <c r="M10" s="2">
        <v>9</v>
      </c>
      <c r="N10" s="2">
        <v>9</v>
      </c>
      <c r="O10" s="2">
        <v>58</v>
      </c>
      <c r="R10" s="20" t="s">
        <v>48</v>
      </c>
      <c r="S10">
        <f t="shared" si="7"/>
        <v>59</v>
      </c>
      <c r="T10">
        <f t="shared" si="0"/>
        <v>0</v>
      </c>
      <c r="U10">
        <f t="shared" si="1"/>
        <v>8</v>
      </c>
      <c r="V10">
        <f t="shared" si="2"/>
        <v>6</v>
      </c>
      <c r="W10">
        <f t="shared" si="3"/>
        <v>14</v>
      </c>
      <c r="X10">
        <f t="shared" si="4"/>
        <v>18</v>
      </c>
      <c r="Y10">
        <f t="shared" si="5"/>
        <v>6</v>
      </c>
      <c r="Z10">
        <f t="shared" si="6"/>
        <v>7</v>
      </c>
      <c r="AD10" s="19" t="s">
        <v>53</v>
      </c>
      <c r="AE10" s="2">
        <v>0</v>
      </c>
      <c r="AF10" s="2">
        <v>0</v>
      </c>
      <c r="AG10" s="2">
        <v>0</v>
      </c>
      <c r="AH10" s="2">
        <v>0</v>
      </c>
      <c r="AI10" s="2">
        <v>1</v>
      </c>
      <c r="AJ10" s="2">
        <v>3</v>
      </c>
      <c r="AK10" s="2">
        <v>0</v>
      </c>
      <c r="AL10" s="2">
        <v>4</v>
      </c>
      <c r="AO10" s="20" t="s">
        <v>48</v>
      </c>
      <c r="AP10">
        <f t="shared" si="8"/>
        <v>6</v>
      </c>
      <c r="AQ10">
        <f t="shared" si="9"/>
        <v>0</v>
      </c>
      <c r="AR10">
        <f t="shared" si="10"/>
        <v>0</v>
      </c>
      <c r="AS10">
        <f t="shared" si="11"/>
        <v>0</v>
      </c>
      <c r="AT10">
        <f t="shared" si="12"/>
        <v>0</v>
      </c>
      <c r="AU10">
        <f t="shared" si="13"/>
        <v>0</v>
      </c>
      <c r="AV10">
        <f t="shared" si="14"/>
        <v>6</v>
      </c>
      <c r="AW10">
        <f t="shared" si="15"/>
        <v>0</v>
      </c>
    </row>
    <row r="11" spans="2:49" x14ac:dyDescent="0.35">
      <c r="B11" s="19">
        <v>7</v>
      </c>
      <c r="C11" s="2">
        <v>59</v>
      </c>
      <c r="D11" s="2">
        <v>6</v>
      </c>
      <c r="G11" s="19" t="s">
        <v>54</v>
      </c>
      <c r="H11" s="2">
        <v>5</v>
      </c>
      <c r="I11" s="2">
        <v>0</v>
      </c>
      <c r="J11" s="2">
        <v>5</v>
      </c>
      <c r="K11" s="2">
        <v>11</v>
      </c>
      <c r="L11" s="2">
        <v>11</v>
      </c>
      <c r="M11" s="2">
        <v>7</v>
      </c>
      <c r="N11" s="2">
        <v>3</v>
      </c>
      <c r="O11" s="2">
        <v>42</v>
      </c>
      <c r="R11" s="20" t="s">
        <v>49</v>
      </c>
      <c r="S11">
        <f t="shared" si="7"/>
        <v>30</v>
      </c>
      <c r="T11">
        <f t="shared" si="0"/>
        <v>0</v>
      </c>
      <c r="U11">
        <f t="shared" si="1"/>
        <v>4</v>
      </c>
      <c r="V11">
        <f t="shared" si="2"/>
        <v>1</v>
      </c>
      <c r="W11">
        <f t="shared" si="3"/>
        <v>2</v>
      </c>
      <c r="X11">
        <f t="shared" si="4"/>
        <v>15</v>
      </c>
      <c r="Y11">
        <f t="shared" si="5"/>
        <v>0</v>
      </c>
      <c r="Z11">
        <f t="shared" si="6"/>
        <v>8</v>
      </c>
      <c r="AD11" s="19" t="s">
        <v>54</v>
      </c>
      <c r="AE11" s="2">
        <v>0</v>
      </c>
      <c r="AF11" s="2">
        <v>0</v>
      </c>
      <c r="AG11" s="2">
        <v>0</v>
      </c>
      <c r="AH11" s="2">
        <v>0</v>
      </c>
      <c r="AI11" s="2">
        <v>0</v>
      </c>
      <c r="AJ11" s="2">
        <v>0</v>
      </c>
      <c r="AK11" s="2">
        <v>0</v>
      </c>
      <c r="AL11" s="2">
        <v>0</v>
      </c>
      <c r="AO11" s="20" t="s">
        <v>49</v>
      </c>
      <c r="AP11">
        <f t="shared" si="8"/>
        <v>2</v>
      </c>
      <c r="AQ11">
        <f t="shared" si="9"/>
        <v>0</v>
      </c>
      <c r="AR11">
        <f t="shared" si="10"/>
        <v>0</v>
      </c>
      <c r="AS11">
        <f t="shared" si="11"/>
        <v>0</v>
      </c>
      <c r="AT11">
        <f t="shared" si="12"/>
        <v>2</v>
      </c>
      <c r="AU11">
        <f t="shared" si="13"/>
        <v>0</v>
      </c>
      <c r="AV11">
        <f t="shared" si="14"/>
        <v>0</v>
      </c>
      <c r="AW11">
        <f t="shared" si="15"/>
        <v>0</v>
      </c>
    </row>
    <row r="12" spans="2:49" x14ac:dyDescent="0.35">
      <c r="B12" s="19">
        <v>8</v>
      </c>
      <c r="C12" s="2">
        <v>30</v>
      </c>
      <c r="D12" s="2">
        <v>2</v>
      </c>
      <c r="G12" s="19" t="s">
        <v>43</v>
      </c>
      <c r="H12" s="2">
        <v>7</v>
      </c>
      <c r="I12" s="2">
        <v>9</v>
      </c>
      <c r="J12" s="2">
        <v>14</v>
      </c>
      <c r="K12" s="2">
        <v>16</v>
      </c>
      <c r="L12" s="2">
        <v>17</v>
      </c>
      <c r="M12" s="2">
        <v>66</v>
      </c>
      <c r="N12" s="2">
        <v>33</v>
      </c>
      <c r="O12" s="2">
        <v>162</v>
      </c>
      <c r="R12" s="20" t="s">
        <v>50</v>
      </c>
      <c r="S12">
        <f t="shared" si="7"/>
        <v>53</v>
      </c>
      <c r="T12">
        <f t="shared" si="0"/>
        <v>19</v>
      </c>
      <c r="U12">
        <f t="shared" si="1"/>
        <v>3</v>
      </c>
      <c r="V12">
        <f t="shared" si="2"/>
        <v>5</v>
      </c>
      <c r="W12">
        <f t="shared" si="3"/>
        <v>7</v>
      </c>
      <c r="X12">
        <f t="shared" si="4"/>
        <v>13</v>
      </c>
      <c r="Y12">
        <f t="shared" si="5"/>
        <v>1</v>
      </c>
      <c r="Z12">
        <f t="shared" si="6"/>
        <v>5</v>
      </c>
      <c r="AD12" s="19" t="s">
        <v>43</v>
      </c>
      <c r="AE12" s="2">
        <v>0</v>
      </c>
      <c r="AF12" s="2">
        <v>0</v>
      </c>
      <c r="AG12" s="2">
        <v>0</v>
      </c>
      <c r="AH12" s="2">
        <v>0</v>
      </c>
      <c r="AI12" s="2">
        <v>0</v>
      </c>
      <c r="AJ12" s="2">
        <v>4</v>
      </c>
      <c r="AK12" s="2">
        <v>0</v>
      </c>
      <c r="AL12" s="2">
        <v>4</v>
      </c>
      <c r="AO12" s="20" t="s">
        <v>50</v>
      </c>
      <c r="AP12">
        <f t="shared" si="8"/>
        <v>13</v>
      </c>
      <c r="AQ12">
        <f t="shared" si="9"/>
        <v>11</v>
      </c>
      <c r="AR12">
        <f t="shared" si="10"/>
        <v>0</v>
      </c>
      <c r="AS12">
        <f t="shared" si="11"/>
        <v>0</v>
      </c>
      <c r="AT12">
        <f t="shared" si="12"/>
        <v>2</v>
      </c>
      <c r="AU12">
        <f t="shared" si="13"/>
        <v>0</v>
      </c>
      <c r="AV12">
        <f t="shared" si="14"/>
        <v>0</v>
      </c>
      <c r="AW12">
        <f t="shared" si="15"/>
        <v>0</v>
      </c>
    </row>
    <row r="13" spans="2:49" x14ac:dyDescent="0.35">
      <c r="B13" s="19">
        <v>9</v>
      </c>
      <c r="C13" s="2">
        <v>53</v>
      </c>
      <c r="D13" s="2">
        <v>13</v>
      </c>
      <c r="G13" s="19" t="s">
        <v>44</v>
      </c>
      <c r="H13" s="2">
        <v>17</v>
      </c>
      <c r="I13" s="2">
        <v>14</v>
      </c>
      <c r="J13" s="2">
        <v>7</v>
      </c>
      <c r="K13" s="2">
        <v>15</v>
      </c>
      <c r="L13" s="2">
        <v>23</v>
      </c>
      <c r="M13" s="2">
        <v>61</v>
      </c>
      <c r="N13" s="2">
        <v>36</v>
      </c>
      <c r="O13" s="2">
        <v>173</v>
      </c>
      <c r="R13" s="20" t="s">
        <v>51</v>
      </c>
      <c r="S13">
        <f t="shared" si="7"/>
        <v>21</v>
      </c>
      <c r="T13">
        <f t="shared" si="0"/>
        <v>0</v>
      </c>
      <c r="U13">
        <f t="shared" si="1"/>
        <v>1</v>
      </c>
      <c r="V13">
        <f t="shared" si="2"/>
        <v>2</v>
      </c>
      <c r="W13">
        <f t="shared" si="3"/>
        <v>11</v>
      </c>
      <c r="X13">
        <f t="shared" si="4"/>
        <v>1</v>
      </c>
      <c r="Y13">
        <f t="shared" si="5"/>
        <v>0</v>
      </c>
      <c r="Z13">
        <f t="shared" si="6"/>
        <v>6</v>
      </c>
      <c r="AD13" s="19" t="s">
        <v>44</v>
      </c>
      <c r="AE13" s="2">
        <v>0</v>
      </c>
      <c r="AF13" s="2">
        <v>0</v>
      </c>
      <c r="AG13" s="2">
        <v>0</v>
      </c>
      <c r="AH13" s="2">
        <v>5</v>
      </c>
      <c r="AI13" s="2">
        <v>0</v>
      </c>
      <c r="AJ13" s="2">
        <v>8</v>
      </c>
      <c r="AK13" s="2">
        <v>0</v>
      </c>
      <c r="AL13" s="2">
        <v>13</v>
      </c>
      <c r="AO13" s="20" t="s">
        <v>51</v>
      </c>
      <c r="AP13">
        <f t="shared" si="8"/>
        <v>3</v>
      </c>
      <c r="AQ13">
        <f t="shared" si="9"/>
        <v>0</v>
      </c>
      <c r="AR13">
        <f t="shared" si="10"/>
        <v>0</v>
      </c>
      <c r="AS13">
        <f t="shared" si="11"/>
        <v>0</v>
      </c>
      <c r="AT13">
        <f t="shared" si="12"/>
        <v>3</v>
      </c>
      <c r="AU13">
        <f t="shared" si="13"/>
        <v>0</v>
      </c>
      <c r="AV13">
        <f t="shared" si="14"/>
        <v>0</v>
      </c>
      <c r="AW13">
        <f t="shared" si="15"/>
        <v>0</v>
      </c>
    </row>
    <row r="14" spans="2:49" x14ac:dyDescent="0.35">
      <c r="B14" s="19">
        <v>10</v>
      </c>
      <c r="C14" s="2">
        <v>21</v>
      </c>
      <c r="D14" s="2">
        <v>3</v>
      </c>
      <c r="G14" s="19" t="s">
        <v>45</v>
      </c>
      <c r="H14" s="2">
        <v>2</v>
      </c>
      <c r="I14" s="2">
        <v>1</v>
      </c>
      <c r="J14" s="2">
        <v>5</v>
      </c>
      <c r="K14" s="2">
        <v>17</v>
      </c>
      <c r="L14" s="2">
        <v>6</v>
      </c>
      <c r="M14" s="2">
        <v>37</v>
      </c>
      <c r="N14" s="2">
        <v>25</v>
      </c>
      <c r="O14" s="2">
        <v>93</v>
      </c>
      <c r="R14" s="20" t="s">
        <v>52</v>
      </c>
      <c r="S14">
        <f t="shared" si="7"/>
        <v>36</v>
      </c>
      <c r="T14">
        <f t="shared" si="0"/>
        <v>8</v>
      </c>
      <c r="U14">
        <f t="shared" si="1"/>
        <v>1</v>
      </c>
      <c r="V14">
        <f t="shared" si="2"/>
        <v>6</v>
      </c>
      <c r="W14">
        <f t="shared" si="3"/>
        <v>8</v>
      </c>
      <c r="X14">
        <f t="shared" si="4"/>
        <v>6</v>
      </c>
      <c r="Y14">
        <f t="shared" si="5"/>
        <v>1</v>
      </c>
      <c r="Z14">
        <f t="shared" si="6"/>
        <v>6</v>
      </c>
      <c r="AD14" s="19" t="s">
        <v>45</v>
      </c>
      <c r="AE14" s="2">
        <v>0</v>
      </c>
      <c r="AF14" s="2">
        <v>0</v>
      </c>
      <c r="AG14" s="2">
        <v>0</v>
      </c>
      <c r="AH14" s="2">
        <v>0</v>
      </c>
      <c r="AI14" s="2">
        <v>0</v>
      </c>
      <c r="AJ14" s="2">
        <v>3</v>
      </c>
      <c r="AK14" s="2">
        <v>0</v>
      </c>
      <c r="AL14" s="2">
        <v>3</v>
      </c>
      <c r="AO14" s="20" t="s">
        <v>52</v>
      </c>
      <c r="AP14">
        <f t="shared" si="8"/>
        <v>3</v>
      </c>
      <c r="AQ14">
        <f t="shared" si="9"/>
        <v>0</v>
      </c>
      <c r="AR14">
        <f t="shared" si="10"/>
        <v>0</v>
      </c>
      <c r="AS14">
        <f t="shared" si="11"/>
        <v>0</v>
      </c>
      <c r="AT14">
        <f t="shared" si="12"/>
        <v>3</v>
      </c>
      <c r="AU14">
        <f t="shared" si="13"/>
        <v>0</v>
      </c>
      <c r="AV14">
        <f t="shared" si="14"/>
        <v>0</v>
      </c>
      <c r="AW14">
        <f t="shared" si="15"/>
        <v>0</v>
      </c>
    </row>
    <row r="15" spans="2:49" x14ac:dyDescent="0.35">
      <c r="B15" s="19">
        <v>11</v>
      </c>
      <c r="C15" s="2">
        <v>36</v>
      </c>
      <c r="D15" s="2">
        <v>3</v>
      </c>
      <c r="G15" s="19" t="s">
        <v>46</v>
      </c>
      <c r="H15" s="2">
        <v>9</v>
      </c>
      <c r="I15" s="2">
        <v>2</v>
      </c>
      <c r="J15" s="2">
        <v>27</v>
      </c>
      <c r="K15" s="2">
        <v>21</v>
      </c>
      <c r="L15" s="2">
        <v>36</v>
      </c>
      <c r="M15" s="2">
        <v>12</v>
      </c>
      <c r="N15" s="2">
        <v>41</v>
      </c>
      <c r="O15" s="2">
        <v>148</v>
      </c>
      <c r="R15" s="20" t="s">
        <v>53</v>
      </c>
      <c r="S15">
        <f t="shared" si="7"/>
        <v>58</v>
      </c>
      <c r="T15">
        <f t="shared" si="0"/>
        <v>5</v>
      </c>
      <c r="U15">
        <f t="shared" si="1"/>
        <v>0</v>
      </c>
      <c r="V15">
        <f t="shared" si="2"/>
        <v>14</v>
      </c>
      <c r="W15">
        <f t="shared" si="3"/>
        <v>9</v>
      </c>
      <c r="X15">
        <f t="shared" si="4"/>
        <v>9</v>
      </c>
      <c r="Y15">
        <f t="shared" si="5"/>
        <v>1</v>
      </c>
      <c r="Z15">
        <f t="shared" si="6"/>
        <v>20</v>
      </c>
      <c r="AD15" s="19" t="s">
        <v>46</v>
      </c>
      <c r="AE15" s="2">
        <v>0</v>
      </c>
      <c r="AF15" s="2">
        <v>0</v>
      </c>
      <c r="AG15" s="2">
        <v>4</v>
      </c>
      <c r="AH15" s="2">
        <v>0</v>
      </c>
      <c r="AI15" s="2">
        <v>7</v>
      </c>
      <c r="AJ15" s="2">
        <v>0</v>
      </c>
      <c r="AK15" s="2">
        <v>0</v>
      </c>
      <c r="AL15" s="2">
        <v>11</v>
      </c>
      <c r="AO15" s="20" t="s">
        <v>53</v>
      </c>
      <c r="AP15">
        <f t="shared" si="8"/>
        <v>4</v>
      </c>
      <c r="AQ15">
        <f t="shared" si="9"/>
        <v>0</v>
      </c>
      <c r="AR15">
        <f t="shared" si="10"/>
        <v>0</v>
      </c>
      <c r="AS15">
        <f t="shared" si="11"/>
        <v>0</v>
      </c>
      <c r="AT15">
        <f t="shared" si="12"/>
        <v>3</v>
      </c>
      <c r="AU15">
        <f t="shared" si="13"/>
        <v>0</v>
      </c>
      <c r="AV15">
        <f t="shared" si="14"/>
        <v>0</v>
      </c>
      <c r="AW15">
        <f t="shared" si="15"/>
        <v>1</v>
      </c>
    </row>
    <row r="16" spans="2:49" x14ac:dyDescent="0.35">
      <c r="B16" s="19">
        <v>12</v>
      </c>
      <c r="C16" s="2">
        <v>58</v>
      </c>
      <c r="D16" s="2">
        <v>4</v>
      </c>
      <c r="G16" s="19" t="s">
        <v>47</v>
      </c>
      <c r="H16" s="2">
        <v>0</v>
      </c>
      <c r="I16" s="2">
        <v>0</v>
      </c>
      <c r="J16" s="2">
        <v>10</v>
      </c>
      <c r="K16" s="2">
        <v>18</v>
      </c>
      <c r="L16" s="2">
        <v>9</v>
      </c>
      <c r="M16" s="2">
        <v>15</v>
      </c>
      <c r="N16" s="2">
        <v>34</v>
      </c>
      <c r="O16" s="2">
        <v>86</v>
      </c>
      <c r="R16" s="20" t="s">
        <v>54</v>
      </c>
      <c r="S16">
        <f t="shared" si="7"/>
        <v>42</v>
      </c>
      <c r="T16">
        <f t="shared" si="0"/>
        <v>0</v>
      </c>
      <c r="U16">
        <f t="shared" si="1"/>
        <v>5</v>
      </c>
      <c r="V16">
        <f t="shared" si="2"/>
        <v>11</v>
      </c>
      <c r="W16">
        <f t="shared" si="3"/>
        <v>7</v>
      </c>
      <c r="X16">
        <f t="shared" si="4"/>
        <v>3</v>
      </c>
      <c r="Y16">
        <f t="shared" si="5"/>
        <v>5</v>
      </c>
      <c r="Z16">
        <f t="shared" si="6"/>
        <v>11</v>
      </c>
      <c r="AD16" s="19" t="s">
        <v>47</v>
      </c>
      <c r="AE16" s="2">
        <v>0</v>
      </c>
      <c r="AF16" s="2">
        <v>0</v>
      </c>
      <c r="AG16" s="2">
        <v>0</v>
      </c>
      <c r="AH16" s="2">
        <v>2</v>
      </c>
      <c r="AI16" s="2">
        <v>0</v>
      </c>
      <c r="AJ16" s="2">
        <v>2</v>
      </c>
      <c r="AK16" s="2">
        <v>0</v>
      </c>
      <c r="AL16" s="2">
        <v>4</v>
      </c>
      <c r="AO16" s="20" t="s">
        <v>54</v>
      </c>
      <c r="AP16">
        <f t="shared" si="8"/>
        <v>0</v>
      </c>
      <c r="AQ16">
        <f t="shared" si="9"/>
        <v>0</v>
      </c>
      <c r="AR16">
        <f t="shared" si="10"/>
        <v>0</v>
      </c>
      <c r="AS16">
        <f t="shared" si="11"/>
        <v>0</v>
      </c>
      <c r="AT16">
        <f t="shared" si="12"/>
        <v>0</v>
      </c>
      <c r="AU16">
        <f>VLOOKUP($R16,$G$7:$O$1048576,8,0)</f>
        <v>3</v>
      </c>
      <c r="AV16">
        <f t="shared" si="14"/>
        <v>0</v>
      </c>
      <c r="AW16">
        <f t="shared" si="15"/>
        <v>0</v>
      </c>
    </row>
    <row r="17" spans="2:38" x14ac:dyDescent="0.35">
      <c r="B17" s="19">
        <v>13</v>
      </c>
      <c r="C17" s="2">
        <v>42</v>
      </c>
      <c r="D17" s="2">
        <v>0</v>
      </c>
      <c r="G17" s="19" t="s">
        <v>48</v>
      </c>
      <c r="H17" s="2">
        <v>6</v>
      </c>
      <c r="I17" s="2">
        <v>0</v>
      </c>
      <c r="J17" s="2">
        <v>8</v>
      </c>
      <c r="K17" s="2">
        <v>6</v>
      </c>
      <c r="L17" s="2">
        <v>7</v>
      </c>
      <c r="M17" s="2">
        <v>14</v>
      </c>
      <c r="N17" s="2">
        <v>18</v>
      </c>
      <c r="O17" s="2">
        <v>59</v>
      </c>
      <c r="AD17" s="19" t="s">
        <v>48</v>
      </c>
      <c r="AE17" s="2">
        <v>6</v>
      </c>
      <c r="AF17" s="2">
        <v>0</v>
      </c>
      <c r="AG17" s="2">
        <v>0</v>
      </c>
      <c r="AH17" s="2">
        <v>0</v>
      </c>
      <c r="AI17" s="2">
        <v>0</v>
      </c>
      <c r="AJ17" s="2">
        <v>0</v>
      </c>
      <c r="AK17" s="2">
        <v>0</v>
      </c>
      <c r="AL17" s="2">
        <v>6</v>
      </c>
    </row>
    <row r="18" spans="2:38" x14ac:dyDescent="0.35">
      <c r="B18" s="19" t="s">
        <v>38</v>
      </c>
      <c r="C18" s="2">
        <v>1132</v>
      </c>
      <c r="D18" s="2">
        <v>82</v>
      </c>
      <c r="G18" s="19" t="s">
        <v>49</v>
      </c>
      <c r="H18" s="2">
        <v>0</v>
      </c>
      <c r="I18" s="2">
        <v>0</v>
      </c>
      <c r="J18" s="2">
        <v>4</v>
      </c>
      <c r="K18" s="2">
        <v>1</v>
      </c>
      <c r="L18" s="2">
        <v>8</v>
      </c>
      <c r="M18" s="2">
        <v>2</v>
      </c>
      <c r="N18" s="2">
        <v>15</v>
      </c>
      <c r="O18" s="2">
        <v>30</v>
      </c>
      <c r="AD18" s="19" t="s">
        <v>49</v>
      </c>
      <c r="AE18" s="2">
        <v>0</v>
      </c>
      <c r="AF18" s="2">
        <v>0</v>
      </c>
      <c r="AG18" s="2">
        <v>0</v>
      </c>
      <c r="AH18" s="2">
        <v>0</v>
      </c>
      <c r="AI18" s="2">
        <v>0</v>
      </c>
      <c r="AJ18" s="2">
        <v>2</v>
      </c>
      <c r="AK18" s="2">
        <v>0</v>
      </c>
      <c r="AL18" s="2">
        <v>2</v>
      </c>
    </row>
    <row r="19" spans="2:38" x14ac:dyDescent="0.35">
      <c r="G19" s="19" t="s">
        <v>50</v>
      </c>
      <c r="H19" s="2">
        <v>1</v>
      </c>
      <c r="I19" s="2">
        <v>19</v>
      </c>
      <c r="J19" s="2">
        <v>3</v>
      </c>
      <c r="K19" s="2">
        <v>5</v>
      </c>
      <c r="L19" s="2">
        <v>5</v>
      </c>
      <c r="M19" s="2">
        <v>7</v>
      </c>
      <c r="N19" s="2">
        <v>13</v>
      </c>
      <c r="O19" s="2">
        <v>53</v>
      </c>
      <c r="AD19" s="19" t="s">
        <v>50</v>
      </c>
      <c r="AE19" s="2">
        <v>0</v>
      </c>
      <c r="AF19" s="2">
        <v>11</v>
      </c>
      <c r="AG19" s="2">
        <v>0</v>
      </c>
      <c r="AH19" s="2">
        <v>0</v>
      </c>
      <c r="AI19" s="2">
        <v>0</v>
      </c>
      <c r="AJ19" s="2">
        <v>2</v>
      </c>
      <c r="AK19" s="2">
        <v>0</v>
      </c>
      <c r="AL19" s="2">
        <v>13</v>
      </c>
    </row>
    <row r="20" spans="2:38" x14ac:dyDescent="0.35">
      <c r="G20" s="19" t="s">
        <v>38</v>
      </c>
      <c r="H20" s="2">
        <v>57</v>
      </c>
      <c r="I20" s="2">
        <v>58</v>
      </c>
      <c r="J20" s="2">
        <v>119</v>
      </c>
      <c r="K20" s="2">
        <v>139</v>
      </c>
      <c r="L20" s="2">
        <v>171</v>
      </c>
      <c r="M20" s="2">
        <v>307</v>
      </c>
      <c r="N20" s="2">
        <v>281</v>
      </c>
      <c r="O20" s="2">
        <v>1132</v>
      </c>
      <c r="AD20" s="19" t="s">
        <v>38</v>
      </c>
      <c r="AE20" s="2">
        <v>6</v>
      </c>
      <c r="AF20" s="2">
        <v>11</v>
      </c>
      <c r="AG20" s="2">
        <v>6</v>
      </c>
      <c r="AH20" s="2">
        <v>7</v>
      </c>
      <c r="AI20" s="2">
        <v>10</v>
      </c>
      <c r="AJ20" s="2">
        <v>42</v>
      </c>
      <c r="AK20" s="2">
        <v>0</v>
      </c>
      <c r="AL20" s="2">
        <v>82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K23" sqref="K23"/>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96"/>
  <sheetViews>
    <sheetView zoomScale="70" zoomScaleNormal="70" workbookViewId="0">
      <selection activeCell="F7" sqref="F7"/>
    </sheetView>
  </sheetViews>
  <sheetFormatPr defaultRowHeight="14.5" x14ac:dyDescent="0.35"/>
  <cols>
    <col min="2" max="2" width="17.26953125" bestFit="1" customWidth="1"/>
    <col min="3" max="3" width="20.7265625" bestFit="1" customWidth="1"/>
    <col min="4" max="4" width="16.54296875" customWidth="1"/>
    <col min="5" max="5" width="20.7265625" bestFit="1" customWidth="1"/>
    <col min="6" max="6" width="21" bestFit="1" customWidth="1"/>
    <col min="7" max="7" width="9.81640625" bestFit="1" customWidth="1"/>
    <col min="8" max="8" width="11.1796875" bestFit="1" customWidth="1"/>
    <col min="9" max="9" width="28.7265625" bestFit="1" customWidth="1"/>
    <col min="10" max="11" width="13.36328125" bestFit="1" customWidth="1"/>
    <col min="12" max="12" width="13.90625" bestFit="1" customWidth="1"/>
    <col min="13" max="13" width="14.26953125" bestFit="1" customWidth="1"/>
    <col min="14" max="22" width="11.26953125" customWidth="1"/>
    <col min="26" max="26" width="4.453125" customWidth="1"/>
    <col min="27" max="27" width="17.26953125" bestFit="1" customWidth="1"/>
    <col min="28" max="28" width="20.7265625" bestFit="1" customWidth="1"/>
    <col min="29" max="29" width="3.54296875" customWidth="1"/>
    <col min="30" max="30" width="9.1796875" style="10"/>
    <col min="32" max="32" width="17.26953125" bestFit="1" customWidth="1"/>
    <col min="33" max="33" width="20.7265625" bestFit="1" customWidth="1"/>
    <col min="34" max="34" width="3.26953125" customWidth="1"/>
    <col min="35" max="35" width="9.1796875" style="10"/>
  </cols>
  <sheetData>
    <row r="1" spans="1:35" s="17" customFormat="1" ht="14.5" customHeight="1" x14ac:dyDescent="0.35">
      <c r="A1" s="37"/>
      <c r="B1" s="191" t="s">
        <v>258</v>
      </c>
      <c r="C1" s="191"/>
      <c r="D1" s="37"/>
      <c r="E1" s="192" t="s">
        <v>259</v>
      </c>
      <c r="F1" s="192"/>
      <c r="G1" s="192"/>
      <c r="H1" s="192"/>
      <c r="I1" s="192"/>
      <c r="J1" s="192"/>
      <c r="K1" s="192"/>
      <c r="L1" s="192"/>
      <c r="M1" s="192"/>
      <c r="N1" s="192"/>
      <c r="O1" s="192"/>
      <c r="P1" s="192"/>
      <c r="Q1" s="192"/>
      <c r="R1" s="192"/>
      <c r="S1" s="192"/>
      <c r="T1" s="192"/>
      <c r="U1" s="192"/>
      <c r="V1" s="192"/>
      <c r="W1" s="192"/>
      <c r="X1" s="108"/>
      <c r="Y1" s="37"/>
      <c r="AA1" s="191" t="s">
        <v>260</v>
      </c>
      <c r="AB1" s="191"/>
      <c r="AC1" s="191"/>
      <c r="AD1" s="191"/>
      <c r="AF1" s="191" t="s">
        <v>261</v>
      </c>
      <c r="AG1" s="191"/>
      <c r="AH1" s="191"/>
      <c r="AI1" s="191"/>
    </row>
    <row r="2" spans="1:35" x14ac:dyDescent="0.35">
      <c r="J2" s="42"/>
      <c r="K2" s="42"/>
      <c r="L2" s="42"/>
      <c r="M2" s="42"/>
      <c r="N2" s="42"/>
      <c r="O2" s="42"/>
      <c r="P2" s="42"/>
      <c r="Q2" s="42"/>
      <c r="R2" s="42"/>
      <c r="S2" s="42"/>
      <c r="T2" s="42"/>
      <c r="U2" s="42"/>
      <c r="V2" s="42"/>
      <c r="W2" s="42"/>
      <c r="X2" s="42"/>
      <c r="Y2" s="42"/>
    </row>
    <row r="3" spans="1:35" x14ac:dyDescent="0.35">
      <c r="B3" s="18" t="s">
        <v>39</v>
      </c>
      <c r="C3" t="s" vm="1">
        <v>334</v>
      </c>
      <c r="E3" s="18" t="s">
        <v>39</v>
      </c>
      <c r="F3" t="s" vm="1">
        <v>334</v>
      </c>
      <c r="P3" t="s">
        <v>224</v>
      </c>
      <c r="Q3" t="s">
        <v>40</v>
      </c>
      <c r="R3" t="s">
        <v>1</v>
      </c>
      <c r="S3" t="s">
        <v>220</v>
      </c>
      <c r="T3" t="s">
        <v>249</v>
      </c>
      <c r="U3" t="s">
        <v>217</v>
      </c>
      <c r="V3" t="s">
        <v>218</v>
      </c>
      <c r="W3" t="s">
        <v>252</v>
      </c>
      <c r="X3" t="s">
        <v>251</v>
      </c>
      <c r="AA3" s="18" t="s">
        <v>39</v>
      </c>
      <c r="AB3" t="s" vm="1">
        <v>334</v>
      </c>
      <c r="AF3" s="18" t="s">
        <v>39</v>
      </c>
      <c r="AG3" t="s" vm="1">
        <v>334</v>
      </c>
    </row>
    <row r="4" spans="1:35" x14ac:dyDescent="0.35">
      <c r="P4" s="21" t="s">
        <v>42</v>
      </c>
      <c r="Q4">
        <f>VLOOKUP(P4, $E$7:$M$1048576, 9,FALSE)</f>
        <v>25</v>
      </c>
      <c r="R4">
        <f>VLOOKUP(P4, $E$7:$M$1048576, 3,FALSE)</f>
        <v>0</v>
      </c>
      <c r="S4">
        <f>VLOOKUP(P4, $E$7:$M$1048576, 4,FALSE)</f>
        <v>8</v>
      </c>
      <c r="T4" s="42">
        <f>VLOOKUP(P4, $E$7:$M$1048576, 5,FALSE)</f>
        <v>6</v>
      </c>
      <c r="U4">
        <f>VLOOKUP(P4, $E$7:$M$1048576, 7,FALSE)</f>
        <v>11</v>
      </c>
      <c r="V4">
        <f>VLOOKUP(P4, $E$7:$M$1048576, 8,FALSE)</f>
        <v>0</v>
      </c>
      <c r="W4">
        <f>VLOOKUP(P4, $E$7:$M$1048576, 2,FALSE)</f>
        <v>0</v>
      </c>
      <c r="X4">
        <f>VLOOKUP(P4, $E$7:$M$1048576, 6,FALSE)</f>
        <v>0</v>
      </c>
    </row>
    <row r="5" spans="1:35" x14ac:dyDescent="0.35">
      <c r="B5" s="18" t="s">
        <v>37</v>
      </c>
      <c r="C5" t="s">
        <v>36</v>
      </c>
      <c r="E5" s="18" t="s">
        <v>36</v>
      </c>
      <c r="F5" s="18" t="s">
        <v>41</v>
      </c>
      <c r="P5" s="20" t="s">
        <v>43</v>
      </c>
      <c r="Q5">
        <f t="shared" ref="Q5:Q15" si="0">VLOOKUP(P5, $E$7:$M$1048576, 9,FALSE)</f>
        <v>28</v>
      </c>
      <c r="R5">
        <f t="shared" ref="R5:R16" si="1">VLOOKUP(P5, $E$7:$M$1048576, 3,FALSE)</f>
        <v>0</v>
      </c>
      <c r="S5">
        <f t="shared" ref="S5:S16" si="2">VLOOKUP(P5, $E$7:$M$1048576, 4,FALSE)</f>
        <v>17</v>
      </c>
      <c r="T5" s="42">
        <f t="shared" ref="T5:T14" si="3">VLOOKUP(P5, $E$7:$M$1048576, 5,FALSE)</f>
        <v>5</v>
      </c>
      <c r="U5">
        <f t="shared" ref="U5:U16" si="4">VLOOKUP(P5, $E$7:$M$1048576, 7,FALSE)</f>
        <v>1</v>
      </c>
      <c r="V5">
        <f t="shared" ref="V5:V16" si="5">VLOOKUP(P5, $E$7:$M$1048576, 8,FALSE)</f>
        <v>0</v>
      </c>
      <c r="W5">
        <f t="shared" ref="W5:W16" si="6">VLOOKUP(P5, $E$7:$M$1048576, 2,FALSE)</f>
        <v>0</v>
      </c>
      <c r="X5">
        <f t="shared" ref="X5:X16" si="7">VLOOKUP(P5, $E$7:$M$1048576, 6,FALSE)</f>
        <v>5</v>
      </c>
      <c r="AA5" s="18" t="s">
        <v>37</v>
      </c>
      <c r="AB5" t="s">
        <v>36</v>
      </c>
      <c r="AD5" s="10">
        <f>MAX(AB6:AB1048576)</f>
        <v>8</v>
      </c>
      <c r="AF5" s="18" t="s">
        <v>37</v>
      </c>
      <c r="AG5" t="s">
        <v>36</v>
      </c>
      <c r="AI5" s="10">
        <f>COUNTIF(AG6:AG1048576,"0")</f>
        <v>3</v>
      </c>
    </row>
    <row r="6" spans="1:35" x14ac:dyDescent="0.35">
      <c r="B6" s="19">
        <v>1</v>
      </c>
      <c r="C6" s="2">
        <v>25</v>
      </c>
      <c r="D6" s="2"/>
      <c r="E6" s="18" t="s">
        <v>37</v>
      </c>
      <c r="F6" t="s">
        <v>282</v>
      </c>
      <c r="G6" t="s">
        <v>1</v>
      </c>
      <c r="H6" t="s">
        <v>220</v>
      </c>
      <c r="I6" t="s">
        <v>253</v>
      </c>
      <c r="J6" t="s">
        <v>250</v>
      </c>
      <c r="K6" t="s">
        <v>217</v>
      </c>
      <c r="L6" t="s">
        <v>218</v>
      </c>
      <c r="M6" t="s">
        <v>38</v>
      </c>
      <c r="P6" s="20" t="s">
        <v>44</v>
      </c>
      <c r="Q6">
        <f t="shared" si="0"/>
        <v>13</v>
      </c>
      <c r="R6">
        <f t="shared" si="1"/>
        <v>0</v>
      </c>
      <c r="S6">
        <f t="shared" si="2"/>
        <v>8</v>
      </c>
      <c r="T6" s="42">
        <f t="shared" si="3"/>
        <v>3</v>
      </c>
      <c r="U6">
        <f t="shared" si="4"/>
        <v>2</v>
      </c>
      <c r="V6">
        <f t="shared" si="5"/>
        <v>0</v>
      </c>
      <c r="W6">
        <f t="shared" si="6"/>
        <v>0</v>
      </c>
      <c r="X6">
        <f t="shared" si="7"/>
        <v>0</v>
      </c>
      <c r="AA6" s="124">
        <v>44529</v>
      </c>
      <c r="AB6" s="2">
        <v>2</v>
      </c>
      <c r="AD6" s="10">
        <f>MATCH(AD5,AB6:AB1048576,0)</f>
        <v>42</v>
      </c>
      <c r="AF6" s="124">
        <v>44529</v>
      </c>
      <c r="AG6" s="2">
        <v>2</v>
      </c>
      <c r="AI6" s="10">
        <f>COUNTA(AG6:AG1048576)</f>
        <v>91</v>
      </c>
    </row>
    <row r="7" spans="1:35" x14ac:dyDescent="0.35">
      <c r="B7" s="19">
        <v>2</v>
      </c>
      <c r="C7" s="2">
        <v>28</v>
      </c>
      <c r="D7" s="2"/>
      <c r="E7" s="19" t="s">
        <v>42</v>
      </c>
      <c r="F7" s="2">
        <v>0</v>
      </c>
      <c r="G7" s="2">
        <v>0</v>
      </c>
      <c r="H7" s="2">
        <v>8</v>
      </c>
      <c r="I7" s="2">
        <v>6</v>
      </c>
      <c r="J7" s="2">
        <v>0</v>
      </c>
      <c r="K7" s="2">
        <v>11</v>
      </c>
      <c r="L7" s="2">
        <v>0</v>
      </c>
      <c r="M7" s="2">
        <v>25</v>
      </c>
      <c r="N7" s="2"/>
      <c r="O7" s="2"/>
      <c r="P7" s="20" t="s">
        <v>45</v>
      </c>
      <c r="Q7">
        <f t="shared" si="0"/>
        <v>15</v>
      </c>
      <c r="R7">
        <f t="shared" si="1"/>
        <v>0</v>
      </c>
      <c r="S7">
        <f t="shared" si="2"/>
        <v>10</v>
      </c>
      <c r="T7" s="42">
        <f t="shared" si="3"/>
        <v>0</v>
      </c>
      <c r="U7">
        <f t="shared" si="4"/>
        <v>4</v>
      </c>
      <c r="V7">
        <f t="shared" si="5"/>
        <v>0</v>
      </c>
      <c r="W7">
        <f t="shared" si="6"/>
        <v>1</v>
      </c>
      <c r="X7">
        <f t="shared" si="7"/>
        <v>0</v>
      </c>
      <c r="AA7" s="124">
        <v>44530</v>
      </c>
      <c r="AB7" s="2">
        <v>3</v>
      </c>
      <c r="AD7" s="10">
        <f>INDEX(AA6:AA1048576,AD6,0)</f>
        <v>44570</v>
      </c>
      <c r="AF7" s="124">
        <v>44530</v>
      </c>
      <c r="AG7" s="2">
        <v>3</v>
      </c>
      <c r="AI7" s="22">
        <f>AI5/AI6</f>
        <v>3.2967032967032968E-2</v>
      </c>
    </row>
    <row r="8" spans="1:35" x14ac:dyDescent="0.35">
      <c r="B8" s="19">
        <v>3</v>
      </c>
      <c r="C8" s="2">
        <v>13</v>
      </c>
      <c r="E8" s="19" t="s">
        <v>51</v>
      </c>
      <c r="F8" s="2">
        <v>0</v>
      </c>
      <c r="G8" s="2">
        <v>0</v>
      </c>
      <c r="H8" s="2">
        <v>10</v>
      </c>
      <c r="I8" s="2">
        <v>3</v>
      </c>
      <c r="J8" s="2">
        <v>0</v>
      </c>
      <c r="K8" s="2">
        <v>0</v>
      </c>
      <c r="L8" s="2">
        <v>0</v>
      </c>
      <c r="M8" s="2">
        <v>13</v>
      </c>
      <c r="N8" s="2"/>
      <c r="O8" s="2"/>
      <c r="P8" s="20" t="s">
        <v>46</v>
      </c>
      <c r="Q8">
        <f t="shared" si="0"/>
        <v>21</v>
      </c>
      <c r="R8">
        <f t="shared" si="1"/>
        <v>1</v>
      </c>
      <c r="S8">
        <f t="shared" si="2"/>
        <v>10</v>
      </c>
      <c r="T8" s="42">
        <f t="shared" si="3"/>
        <v>4</v>
      </c>
      <c r="U8">
        <f t="shared" si="4"/>
        <v>6</v>
      </c>
      <c r="V8">
        <f t="shared" si="5"/>
        <v>0</v>
      </c>
      <c r="W8">
        <f>VLOOKUP(P8, $E$7:$M$1048576, 2,FALSE)</f>
        <v>0</v>
      </c>
      <c r="X8">
        <f t="shared" si="7"/>
        <v>0</v>
      </c>
      <c r="AA8" s="124">
        <v>44531</v>
      </c>
      <c r="AB8" s="2">
        <v>3</v>
      </c>
      <c r="AF8" s="124">
        <v>44531</v>
      </c>
      <c r="AG8" s="2">
        <v>3</v>
      </c>
    </row>
    <row r="9" spans="1:35" x14ac:dyDescent="0.35">
      <c r="B9" s="19">
        <v>4</v>
      </c>
      <c r="C9" s="2">
        <v>15</v>
      </c>
      <c r="E9" s="19" t="s">
        <v>52</v>
      </c>
      <c r="F9" s="2">
        <v>0</v>
      </c>
      <c r="G9" s="2">
        <v>0</v>
      </c>
      <c r="H9" s="2">
        <v>17</v>
      </c>
      <c r="I9" s="2">
        <v>1</v>
      </c>
      <c r="J9" s="2">
        <v>0</v>
      </c>
      <c r="K9" s="2">
        <v>5</v>
      </c>
      <c r="L9" s="2">
        <v>0</v>
      </c>
      <c r="M9" s="2">
        <v>23</v>
      </c>
      <c r="N9" s="2"/>
      <c r="P9" s="20" t="s">
        <v>47</v>
      </c>
      <c r="Q9">
        <f t="shared" si="0"/>
        <v>23</v>
      </c>
      <c r="R9">
        <f t="shared" si="1"/>
        <v>0</v>
      </c>
      <c r="S9">
        <f t="shared" si="2"/>
        <v>14</v>
      </c>
      <c r="T9" s="42">
        <f t="shared" si="3"/>
        <v>1</v>
      </c>
      <c r="U9">
        <f t="shared" si="4"/>
        <v>8</v>
      </c>
      <c r="V9">
        <f t="shared" si="5"/>
        <v>0</v>
      </c>
      <c r="W9">
        <f t="shared" si="6"/>
        <v>0</v>
      </c>
      <c r="X9">
        <f t="shared" si="7"/>
        <v>0</v>
      </c>
      <c r="AA9" s="124">
        <v>44532</v>
      </c>
      <c r="AB9" s="2">
        <v>1</v>
      </c>
      <c r="AF9" s="124">
        <v>44532</v>
      </c>
      <c r="AG9" s="2">
        <v>1</v>
      </c>
    </row>
    <row r="10" spans="1:35" x14ac:dyDescent="0.35">
      <c r="B10" s="19">
        <v>5</v>
      </c>
      <c r="C10" s="2">
        <v>21</v>
      </c>
      <c r="E10" s="19" t="s">
        <v>53</v>
      </c>
      <c r="F10" s="2">
        <v>0</v>
      </c>
      <c r="G10" s="2">
        <v>1</v>
      </c>
      <c r="H10" s="2">
        <v>22</v>
      </c>
      <c r="I10" s="2">
        <v>2</v>
      </c>
      <c r="J10" s="2">
        <v>3</v>
      </c>
      <c r="K10" s="2">
        <v>4</v>
      </c>
      <c r="L10" s="2">
        <v>0</v>
      </c>
      <c r="M10" s="2">
        <v>32</v>
      </c>
      <c r="N10" s="2"/>
      <c r="P10" s="20" t="s">
        <v>48</v>
      </c>
      <c r="Q10">
        <f t="shared" si="0"/>
        <v>25</v>
      </c>
      <c r="R10">
        <f t="shared" si="1"/>
        <v>0</v>
      </c>
      <c r="S10">
        <f t="shared" si="2"/>
        <v>11</v>
      </c>
      <c r="T10" s="42">
        <f t="shared" si="3"/>
        <v>2</v>
      </c>
      <c r="U10">
        <f t="shared" si="4"/>
        <v>12</v>
      </c>
      <c r="V10">
        <f t="shared" si="5"/>
        <v>0</v>
      </c>
      <c r="W10">
        <f t="shared" si="6"/>
        <v>0</v>
      </c>
      <c r="X10">
        <f t="shared" si="7"/>
        <v>0</v>
      </c>
      <c r="AA10" s="124">
        <v>44533</v>
      </c>
      <c r="AB10" s="2">
        <v>3</v>
      </c>
      <c r="AF10" s="124">
        <v>44533</v>
      </c>
      <c r="AG10" s="2">
        <v>3</v>
      </c>
    </row>
    <row r="11" spans="1:35" x14ac:dyDescent="0.35">
      <c r="B11" s="19">
        <v>6</v>
      </c>
      <c r="C11" s="2">
        <v>23</v>
      </c>
      <c r="E11" s="19" t="s">
        <v>54</v>
      </c>
      <c r="F11" s="2">
        <v>0</v>
      </c>
      <c r="G11" s="2">
        <v>0</v>
      </c>
      <c r="H11" s="2">
        <v>13</v>
      </c>
      <c r="I11" s="2">
        <v>3</v>
      </c>
      <c r="J11" s="2">
        <v>0</v>
      </c>
      <c r="K11" s="2">
        <v>6</v>
      </c>
      <c r="L11" s="2">
        <v>0</v>
      </c>
      <c r="M11" s="2">
        <v>22</v>
      </c>
      <c r="N11" s="2"/>
      <c r="P11" s="20" t="s">
        <v>49</v>
      </c>
      <c r="Q11">
        <f t="shared" si="0"/>
        <v>28</v>
      </c>
      <c r="R11">
        <f t="shared" si="1"/>
        <v>0</v>
      </c>
      <c r="S11">
        <f t="shared" si="2"/>
        <v>8</v>
      </c>
      <c r="T11" s="42">
        <f t="shared" si="3"/>
        <v>2</v>
      </c>
      <c r="U11">
        <f t="shared" si="4"/>
        <v>17</v>
      </c>
      <c r="V11">
        <f t="shared" si="5"/>
        <v>0</v>
      </c>
      <c r="W11">
        <f t="shared" si="6"/>
        <v>0</v>
      </c>
      <c r="X11">
        <f t="shared" si="7"/>
        <v>1</v>
      </c>
      <c r="AA11" s="124">
        <v>44534</v>
      </c>
      <c r="AB11" s="2">
        <v>6</v>
      </c>
      <c r="AF11" s="124">
        <v>44534</v>
      </c>
      <c r="AG11" s="2">
        <v>6</v>
      </c>
    </row>
    <row r="12" spans="1:35" x14ac:dyDescent="0.35">
      <c r="B12" s="19">
        <v>7</v>
      </c>
      <c r="C12" s="2">
        <v>25</v>
      </c>
      <c r="E12" s="19" t="s">
        <v>43</v>
      </c>
      <c r="F12" s="2">
        <v>0</v>
      </c>
      <c r="G12" s="2">
        <v>0</v>
      </c>
      <c r="H12" s="2">
        <v>17</v>
      </c>
      <c r="I12" s="2">
        <v>5</v>
      </c>
      <c r="J12" s="2">
        <v>5</v>
      </c>
      <c r="K12" s="2">
        <v>1</v>
      </c>
      <c r="L12" s="2">
        <v>0</v>
      </c>
      <c r="M12" s="2">
        <v>28</v>
      </c>
      <c r="N12" s="2"/>
      <c r="P12" s="20" t="s">
        <v>50</v>
      </c>
      <c r="Q12">
        <f t="shared" si="0"/>
        <v>23</v>
      </c>
      <c r="R12">
        <f t="shared" si="1"/>
        <v>0</v>
      </c>
      <c r="S12">
        <f t="shared" si="2"/>
        <v>7</v>
      </c>
      <c r="T12" s="42">
        <f t="shared" si="3"/>
        <v>7</v>
      </c>
      <c r="U12">
        <f t="shared" si="4"/>
        <v>7</v>
      </c>
      <c r="V12">
        <f t="shared" si="5"/>
        <v>0</v>
      </c>
      <c r="W12">
        <f t="shared" si="6"/>
        <v>0</v>
      </c>
      <c r="X12">
        <f t="shared" si="7"/>
        <v>2</v>
      </c>
      <c r="AA12" s="124">
        <v>44535</v>
      </c>
      <c r="AB12" s="2">
        <v>7</v>
      </c>
      <c r="AF12" s="124">
        <v>44535</v>
      </c>
      <c r="AG12" s="2">
        <v>7</v>
      </c>
    </row>
    <row r="13" spans="1:35" x14ac:dyDescent="0.35">
      <c r="B13" s="19">
        <v>8</v>
      </c>
      <c r="C13" s="2">
        <v>28</v>
      </c>
      <c r="E13" s="19" t="s">
        <v>44</v>
      </c>
      <c r="F13" s="2">
        <v>0</v>
      </c>
      <c r="G13" s="2">
        <v>0</v>
      </c>
      <c r="H13" s="2">
        <v>8</v>
      </c>
      <c r="I13" s="2">
        <v>3</v>
      </c>
      <c r="J13" s="2">
        <v>0</v>
      </c>
      <c r="K13" s="2">
        <v>2</v>
      </c>
      <c r="L13" s="2">
        <v>0</v>
      </c>
      <c r="M13" s="2">
        <v>13</v>
      </c>
      <c r="N13" s="2"/>
      <c r="P13" s="20" t="s">
        <v>51</v>
      </c>
      <c r="Q13">
        <f t="shared" si="0"/>
        <v>13</v>
      </c>
      <c r="R13">
        <f t="shared" si="1"/>
        <v>0</v>
      </c>
      <c r="S13">
        <f t="shared" si="2"/>
        <v>10</v>
      </c>
      <c r="T13" s="42">
        <f t="shared" si="3"/>
        <v>3</v>
      </c>
      <c r="U13">
        <f t="shared" si="4"/>
        <v>0</v>
      </c>
      <c r="V13">
        <f t="shared" si="5"/>
        <v>0</v>
      </c>
      <c r="W13">
        <f t="shared" si="6"/>
        <v>0</v>
      </c>
      <c r="X13">
        <f t="shared" si="7"/>
        <v>0</v>
      </c>
      <c r="AA13" s="124">
        <v>44536</v>
      </c>
      <c r="AB13" s="2">
        <v>3</v>
      </c>
      <c r="AF13" s="124">
        <v>44536</v>
      </c>
      <c r="AG13" s="2">
        <v>3</v>
      </c>
    </row>
    <row r="14" spans="1:35" x14ac:dyDescent="0.35">
      <c r="B14" s="19">
        <v>9</v>
      </c>
      <c r="C14" s="2">
        <v>23</v>
      </c>
      <c r="E14" s="19" t="s">
        <v>45</v>
      </c>
      <c r="F14" s="2">
        <v>1</v>
      </c>
      <c r="G14" s="2">
        <v>0</v>
      </c>
      <c r="H14" s="2">
        <v>10</v>
      </c>
      <c r="I14" s="2">
        <v>0</v>
      </c>
      <c r="J14" s="2">
        <v>0</v>
      </c>
      <c r="K14" s="2">
        <v>4</v>
      </c>
      <c r="L14" s="2">
        <v>0</v>
      </c>
      <c r="M14" s="2">
        <v>15</v>
      </c>
      <c r="N14" s="2"/>
      <c r="P14" s="20" t="s">
        <v>52</v>
      </c>
      <c r="Q14">
        <f t="shared" si="0"/>
        <v>23</v>
      </c>
      <c r="R14">
        <f t="shared" si="1"/>
        <v>0</v>
      </c>
      <c r="S14">
        <f t="shared" si="2"/>
        <v>17</v>
      </c>
      <c r="T14" s="42">
        <f t="shared" si="3"/>
        <v>1</v>
      </c>
      <c r="U14">
        <f t="shared" si="4"/>
        <v>5</v>
      </c>
      <c r="V14">
        <f t="shared" si="5"/>
        <v>0</v>
      </c>
      <c r="W14">
        <f t="shared" si="6"/>
        <v>0</v>
      </c>
      <c r="X14">
        <f t="shared" si="7"/>
        <v>0</v>
      </c>
      <c r="AA14" s="124">
        <v>44537</v>
      </c>
      <c r="AB14" s="2">
        <v>0</v>
      </c>
      <c r="AF14" s="124">
        <v>44537</v>
      </c>
      <c r="AG14" s="2">
        <v>0</v>
      </c>
    </row>
    <row r="15" spans="1:35" x14ac:dyDescent="0.35">
      <c r="B15" s="19">
        <v>10</v>
      </c>
      <c r="C15" s="2">
        <v>13</v>
      </c>
      <c r="E15" s="19" t="s">
        <v>46</v>
      </c>
      <c r="F15" s="2">
        <v>0</v>
      </c>
      <c r="G15" s="2">
        <v>1</v>
      </c>
      <c r="H15" s="2">
        <v>10</v>
      </c>
      <c r="I15" s="2">
        <v>4</v>
      </c>
      <c r="J15" s="2">
        <v>0</v>
      </c>
      <c r="K15" s="2">
        <v>6</v>
      </c>
      <c r="L15" s="2">
        <v>0</v>
      </c>
      <c r="M15" s="2">
        <v>21</v>
      </c>
      <c r="N15" s="2"/>
      <c r="P15" s="20" t="s">
        <v>53</v>
      </c>
      <c r="Q15">
        <f t="shared" si="0"/>
        <v>32</v>
      </c>
      <c r="R15">
        <f t="shared" si="1"/>
        <v>1</v>
      </c>
      <c r="S15">
        <f t="shared" si="2"/>
        <v>22</v>
      </c>
      <c r="T15" s="42">
        <f>VLOOKUP(P15, $E$7:$M$1048576, 5,FALSE)</f>
        <v>2</v>
      </c>
      <c r="U15">
        <f t="shared" si="4"/>
        <v>4</v>
      </c>
      <c r="V15">
        <f t="shared" si="5"/>
        <v>0</v>
      </c>
      <c r="W15">
        <f t="shared" si="6"/>
        <v>0</v>
      </c>
      <c r="X15">
        <f t="shared" si="7"/>
        <v>3</v>
      </c>
      <c r="AA15" s="124">
        <v>44538</v>
      </c>
      <c r="AB15" s="2">
        <v>2</v>
      </c>
      <c r="AF15" s="124">
        <v>44538</v>
      </c>
      <c r="AG15" s="2">
        <v>2</v>
      </c>
    </row>
    <row r="16" spans="1:35" x14ac:dyDescent="0.35">
      <c r="B16" s="19">
        <v>11</v>
      </c>
      <c r="C16" s="2">
        <v>23</v>
      </c>
      <c r="E16" s="19" t="s">
        <v>47</v>
      </c>
      <c r="F16" s="2">
        <v>0</v>
      </c>
      <c r="G16" s="2">
        <v>0</v>
      </c>
      <c r="H16" s="2">
        <v>14</v>
      </c>
      <c r="I16" s="2">
        <v>1</v>
      </c>
      <c r="J16" s="2">
        <v>0</v>
      </c>
      <c r="K16" s="2">
        <v>8</v>
      </c>
      <c r="L16" s="2">
        <v>0</v>
      </c>
      <c r="M16" s="2">
        <v>23</v>
      </c>
      <c r="N16" s="2"/>
      <c r="P16" s="20" t="s">
        <v>54</v>
      </c>
      <c r="Q16">
        <f>VLOOKUP(P16, $E$7:$M$1048576, 9,FALSE)</f>
        <v>22</v>
      </c>
      <c r="R16">
        <f t="shared" si="1"/>
        <v>0</v>
      </c>
      <c r="S16">
        <f t="shared" si="2"/>
        <v>13</v>
      </c>
      <c r="T16" s="42">
        <f>VLOOKUP(P16, $E$7:$M$1048576, 5,FALSE)</f>
        <v>3</v>
      </c>
      <c r="U16">
        <f t="shared" si="4"/>
        <v>6</v>
      </c>
      <c r="V16">
        <f t="shared" si="5"/>
        <v>0</v>
      </c>
      <c r="W16">
        <f t="shared" si="6"/>
        <v>0</v>
      </c>
      <c r="X16">
        <f t="shared" si="7"/>
        <v>0</v>
      </c>
      <c r="AA16" s="124">
        <v>44539</v>
      </c>
      <c r="AB16" s="2">
        <v>6</v>
      </c>
      <c r="AF16" s="124">
        <v>44539</v>
      </c>
      <c r="AG16" s="2">
        <v>6</v>
      </c>
    </row>
    <row r="17" spans="2:33" x14ac:dyDescent="0.35">
      <c r="B17" s="19">
        <v>12</v>
      </c>
      <c r="C17" s="2">
        <v>32</v>
      </c>
      <c r="E17" s="19" t="s">
        <v>48</v>
      </c>
      <c r="F17" s="2">
        <v>0</v>
      </c>
      <c r="G17" s="2">
        <v>0</v>
      </c>
      <c r="H17" s="2">
        <v>11</v>
      </c>
      <c r="I17" s="2">
        <v>2</v>
      </c>
      <c r="J17" s="2">
        <v>0</v>
      </c>
      <c r="K17" s="2">
        <v>12</v>
      </c>
      <c r="L17" s="2">
        <v>0</v>
      </c>
      <c r="M17" s="2">
        <v>25</v>
      </c>
      <c r="N17" s="2"/>
      <c r="P17" s="20"/>
      <c r="T17" s="42"/>
      <c r="W17" s="113"/>
      <c r="AA17" s="124">
        <v>44540</v>
      </c>
      <c r="AB17" s="2">
        <v>5</v>
      </c>
      <c r="AF17" s="124">
        <v>44540</v>
      </c>
      <c r="AG17" s="2">
        <v>5</v>
      </c>
    </row>
    <row r="18" spans="2:33" x14ac:dyDescent="0.35">
      <c r="B18" s="19">
        <v>13</v>
      </c>
      <c r="C18" s="2">
        <v>22</v>
      </c>
      <c r="E18" s="19" t="s">
        <v>49</v>
      </c>
      <c r="F18" s="2">
        <v>0</v>
      </c>
      <c r="G18" s="2">
        <v>0</v>
      </c>
      <c r="H18" s="2">
        <v>8</v>
      </c>
      <c r="I18" s="2">
        <v>2</v>
      </c>
      <c r="J18" s="2">
        <v>1</v>
      </c>
      <c r="K18" s="2">
        <v>17</v>
      </c>
      <c r="L18" s="2">
        <v>0</v>
      </c>
      <c r="M18" s="2">
        <v>28</v>
      </c>
      <c r="N18" s="2"/>
      <c r="AA18" s="124">
        <v>44541</v>
      </c>
      <c r="AB18" s="2">
        <v>5</v>
      </c>
      <c r="AF18" s="124">
        <v>44541</v>
      </c>
      <c r="AG18" s="2">
        <v>5</v>
      </c>
    </row>
    <row r="19" spans="2:33" x14ac:dyDescent="0.35">
      <c r="B19" s="19" t="s">
        <v>38</v>
      </c>
      <c r="C19" s="2">
        <v>291</v>
      </c>
      <c r="E19" s="19" t="s">
        <v>50</v>
      </c>
      <c r="F19" s="2">
        <v>0</v>
      </c>
      <c r="G19" s="2">
        <v>0</v>
      </c>
      <c r="H19" s="2">
        <v>7</v>
      </c>
      <c r="I19" s="2">
        <v>7</v>
      </c>
      <c r="J19" s="2">
        <v>2</v>
      </c>
      <c r="K19" s="2">
        <v>7</v>
      </c>
      <c r="L19" s="2">
        <v>0</v>
      </c>
      <c r="M19" s="2">
        <v>23</v>
      </c>
      <c r="N19" s="2"/>
      <c r="AA19" s="124">
        <v>44542</v>
      </c>
      <c r="AB19" s="2">
        <v>7</v>
      </c>
      <c r="AF19" s="124">
        <v>44542</v>
      </c>
      <c r="AG19" s="2">
        <v>7</v>
      </c>
    </row>
    <row r="20" spans="2:33" x14ac:dyDescent="0.35">
      <c r="E20" s="19" t="s">
        <v>38</v>
      </c>
      <c r="F20" s="2">
        <v>1</v>
      </c>
      <c r="G20" s="2">
        <v>2</v>
      </c>
      <c r="H20" s="2">
        <v>155</v>
      </c>
      <c r="I20" s="2">
        <v>39</v>
      </c>
      <c r="J20" s="2">
        <v>11</v>
      </c>
      <c r="K20" s="2">
        <v>83</v>
      </c>
      <c r="L20" s="2">
        <v>0</v>
      </c>
      <c r="M20" s="2">
        <v>291</v>
      </c>
      <c r="N20" s="2"/>
      <c r="AA20" s="124">
        <v>44543</v>
      </c>
      <c r="AB20" s="2">
        <v>1</v>
      </c>
      <c r="AF20" s="124">
        <v>44543</v>
      </c>
      <c r="AG20" s="2">
        <v>1</v>
      </c>
    </row>
    <row r="21" spans="2:33" x14ac:dyDescent="0.35">
      <c r="AA21" s="124">
        <v>44544</v>
      </c>
      <c r="AB21" s="2">
        <v>2</v>
      </c>
      <c r="AF21" s="124">
        <v>44544</v>
      </c>
      <c r="AG21" s="2">
        <v>2</v>
      </c>
    </row>
    <row r="22" spans="2:33" x14ac:dyDescent="0.35">
      <c r="AA22" s="124">
        <v>44545</v>
      </c>
      <c r="AB22" s="2">
        <v>3</v>
      </c>
      <c r="AF22" s="124">
        <v>44545</v>
      </c>
      <c r="AG22" s="2">
        <v>3</v>
      </c>
    </row>
    <row r="23" spans="2:33" x14ac:dyDescent="0.35">
      <c r="AA23" s="124">
        <v>44546</v>
      </c>
      <c r="AB23" s="2">
        <v>1</v>
      </c>
      <c r="AF23" s="124">
        <v>44546</v>
      </c>
      <c r="AG23" s="2">
        <v>1</v>
      </c>
    </row>
    <row r="24" spans="2:33" x14ac:dyDescent="0.35">
      <c r="AA24" s="124">
        <v>44547</v>
      </c>
      <c r="AB24" s="2">
        <v>1</v>
      </c>
      <c r="AF24" s="124">
        <v>44547</v>
      </c>
      <c r="AG24" s="2">
        <v>1</v>
      </c>
    </row>
    <row r="25" spans="2:33" x14ac:dyDescent="0.35">
      <c r="AA25" s="124">
        <v>44548</v>
      </c>
      <c r="AB25" s="2">
        <v>2</v>
      </c>
      <c r="AF25" s="124">
        <v>44548</v>
      </c>
      <c r="AG25" s="2">
        <v>2</v>
      </c>
    </row>
    <row r="26" spans="2:33" x14ac:dyDescent="0.35">
      <c r="AA26" s="124">
        <v>44549</v>
      </c>
      <c r="AB26" s="2">
        <v>3</v>
      </c>
      <c r="AF26" s="124">
        <v>44549</v>
      </c>
      <c r="AG26" s="2">
        <v>3</v>
      </c>
    </row>
    <row r="27" spans="2:33" x14ac:dyDescent="0.35">
      <c r="AA27" s="124">
        <v>44550</v>
      </c>
      <c r="AB27" s="2">
        <v>3</v>
      </c>
      <c r="AF27" s="124">
        <v>44550</v>
      </c>
      <c r="AG27" s="2">
        <v>3</v>
      </c>
    </row>
    <row r="28" spans="2:33" x14ac:dyDescent="0.35">
      <c r="AA28" s="124">
        <v>44551</v>
      </c>
      <c r="AB28" s="2">
        <v>5</v>
      </c>
      <c r="AF28" s="124">
        <v>44551</v>
      </c>
      <c r="AG28" s="2">
        <v>5</v>
      </c>
    </row>
    <row r="29" spans="2:33" x14ac:dyDescent="0.35">
      <c r="AA29" s="124">
        <v>44552</v>
      </c>
      <c r="AB29" s="2">
        <v>3</v>
      </c>
      <c r="AF29" s="124">
        <v>44552</v>
      </c>
      <c r="AG29" s="2">
        <v>3</v>
      </c>
    </row>
    <row r="30" spans="2:33" x14ac:dyDescent="0.35">
      <c r="AA30" s="124">
        <v>44553</v>
      </c>
      <c r="AB30" s="2">
        <v>3</v>
      </c>
      <c r="AF30" s="124">
        <v>44553</v>
      </c>
      <c r="AG30" s="2">
        <v>3</v>
      </c>
    </row>
    <row r="31" spans="2:33" x14ac:dyDescent="0.35">
      <c r="AA31" s="124">
        <v>44554</v>
      </c>
      <c r="AB31" s="2">
        <v>0</v>
      </c>
      <c r="AF31" s="124">
        <v>44554</v>
      </c>
      <c r="AG31" s="2">
        <v>0</v>
      </c>
    </row>
    <row r="32" spans="2:33" x14ac:dyDescent="0.35">
      <c r="AA32" s="124">
        <v>44555</v>
      </c>
      <c r="AB32" s="2">
        <v>1</v>
      </c>
      <c r="AF32" s="124">
        <v>44555</v>
      </c>
      <c r="AG32" s="2">
        <v>1</v>
      </c>
    </row>
    <row r="33" spans="27:33" x14ac:dyDescent="0.35">
      <c r="AA33" s="124">
        <v>44556</v>
      </c>
      <c r="AB33" s="2">
        <v>0</v>
      </c>
      <c r="AF33" s="124">
        <v>44556</v>
      </c>
      <c r="AG33" s="2">
        <v>0</v>
      </c>
    </row>
    <row r="34" spans="27:33" x14ac:dyDescent="0.35">
      <c r="AA34" s="124">
        <v>44557</v>
      </c>
      <c r="AB34" s="2">
        <v>2</v>
      </c>
      <c r="AF34" s="124">
        <v>44557</v>
      </c>
      <c r="AG34" s="2">
        <v>2</v>
      </c>
    </row>
    <row r="35" spans="27:33" x14ac:dyDescent="0.35">
      <c r="AA35" s="124">
        <v>44558</v>
      </c>
      <c r="AB35" s="2">
        <v>4</v>
      </c>
      <c r="AF35" s="124">
        <v>44558</v>
      </c>
      <c r="AG35" s="2">
        <v>4</v>
      </c>
    </row>
    <row r="36" spans="27:33" x14ac:dyDescent="0.35">
      <c r="AA36" s="124">
        <v>44559</v>
      </c>
      <c r="AB36" s="2">
        <v>2</v>
      </c>
      <c r="AF36" s="124">
        <v>44559</v>
      </c>
      <c r="AG36" s="2">
        <v>2</v>
      </c>
    </row>
    <row r="37" spans="27:33" x14ac:dyDescent="0.35">
      <c r="AA37" s="124">
        <v>44560</v>
      </c>
      <c r="AB37" s="2">
        <v>6</v>
      </c>
      <c r="AF37" s="124">
        <v>44560</v>
      </c>
      <c r="AG37" s="2">
        <v>6</v>
      </c>
    </row>
    <row r="38" spans="27:33" x14ac:dyDescent="0.35">
      <c r="AA38" s="124">
        <v>44561</v>
      </c>
      <c r="AB38" s="2">
        <v>1</v>
      </c>
      <c r="AF38" s="124">
        <v>44561</v>
      </c>
      <c r="AG38" s="2">
        <v>1</v>
      </c>
    </row>
    <row r="39" spans="27:33" x14ac:dyDescent="0.35">
      <c r="AA39" s="124">
        <v>44562</v>
      </c>
      <c r="AB39" s="2">
        <v>5</v>
      </c>
      <c r="AF39" s="124">
        <v>44562</v>
      </c>
      <c r="AG39" s="2">
        <v>5</v>
      </c>
    </row>
    <row r="40" spans="27:33" x14ac:dyDescent="0.35">
      <c r="AA40" s="124">
        <v>44563</v>
      </c>
      <c r="AB40" s="2">
        <v>1</v>
      </c>
      <c r="AF40" s="124">
        <v>44563</v>
      </c>
      <c r="AG40" s="2">
        <v>1</v>
      </c>
    </row>
    <row r="41" spans="27:33" x14ac:dyDescent="0.35">
      <c r="AA41" s="124">
        <v>44564</v>
      </c>
      <c r="AB41" s="2">
        <v>1</v>
      </c>
      <c r="AF41" s="124">
        <v>44564</v>
      </c>
      <c r="AG41" s="2">
        <v>1</v>
      </c>
    </row>
    <row r="42" spans="27:33" x14ac:dyDescent="0.35">
      <c r="AA42" s="124">
        <v>44565</v>
      </c>
      <c r="AB42" s="2">
        <v>1</v>
      </c>
      <c r="AF42" s="124">
        <v>44565</v>
      </c>
      <c r="AG42" s="2">
        <v>1</v>
      </c>
    </row>
    <row r="43" spans="27:33" x14ac:dyDescent="0.35">
      <c r="AA43" s="124">
        <v>44566</v>
      </c>
      <c r="AB43" s="2">
        <v>2</v>
      </c>
      <c r="AF43" s="124">
        <v>44566</v>
      </c>
      <c r="AG43" s="2">
        <v>2</v>
      </c>
    </row>
    <row r="44" spans="27:33" x14ac:dyDescent="0.35">
      <c r="AA44" s="124">
        <v>44567</v>
      </c>
      <c r="AB44" s="2">
        <v>3</v>
      </c>
      <c r="AF44" s="124">
        <v>44567</v>
      </c>
      <c r="AG44" s="2">
        <v>3</v>
      </c>
    </row>
    <row r="45" spans="27:33" x14ac:dyDescent="0.35">
      <c r="AA45" s="124">
        <v>44568</v>
      </c>
      <c r="AB45" s="2">
        <v>4</v>
      </c>
      <c r="AF45" s="124">
        <v>44568</v>
      </c>
      <c r="AG45" s="2">
        <v>4</v>
      </c>
    </row>
    <row r="46" spans="27:33" x14ac:dyDescent="0.35">
      <c r="AA46" s="124">
        <v>44569</v>
      </c>
      <c r="AB46" s="2">
        <v>4</v>
      </c>
      <c r="AF46" s="124">
        <v>44569</v>
      </c>
      <c r="AG46" s="2">
        <v>4</v>
      </c>
    </row>
    <row r="47" spans="27:33" x14ac:dyDescent="0.35">
      <c r="AA47" s="124">
        <v>44570</v>
      </c>
      <c r="AB47" s="2">
        <v>8</v>
      </c>
      <c r="AF47" s="124">
        <v>44570</v>
      </c>
      <c r="AG47" s="2">
        <v>8</v>
      </c>
    </row>
    <row r="48" spans="27:33" x14ac:dyDescent="0.35">
      <c r="AA48" s="124">
        <v>44571</v>
      </c>
      <c r="AB48" s="2">
        <v>1</v>
      </c>
      <c r="AF48" s="124">
        <v>44571</v>
      </c>
      <c r="AG48" s="2">
        <v>1</v>
      </c>
    </row>
    <row r="49" spans="27:33" x14ac:dyDescent="0.35">
      <c r="AA49" s="124">
        <v>44572</v>
      </c>
      <c r="AB49" s="2">
        <v>5</v>
      </c>
      <c r="AF49" s="124">
        <v>44572</v>
      </c>
      <c r="AG49" s="2">
        <v>5</v>
      </c>
    </row>
    <row r="50" spans="27:33" x14ac:dyDescent="0.35">
      <c r="AA50" s="124">
        <v>44573</v>
      </c>
      <c r="AB50" s="2">
        <v>1</v>
      </c>
      <c r="AF50" s="124">
        <v>44573</v>
      </c>
      <c r="AG50" s="2">
        <v>1</v>
      </c>
    </row>
    <row r="51" spans="27:33" x14ac:dyDescent="0.35">
      <c r="AA51" s="124">
        <v>44574</v>
      </c>
      <c r="AB51" s="2">
        <v>5</v>
      </c>
      <c r="AF51" s="124">
        <v>44574</v>
      </c>
      <c r="AG51" s="2">
        <v>5</v>
      </c>
    </row>
    <row r="52" spans="27:33" x14ac:dyDescent="0.35">
      <c r="AA52" s="124">
        <v>44575</v>
      </c>
      <c r="AB52" s="2">
        <v>4</v>
      </c>
      <c r="AF52" s="124">
        <v>44575</v>
      </c>
      <c r="AG52" s="2">
        <v>4</v>
      </c>
    </row>
    <row r="53" spans="27:33" x14ac:dyDescent="0.35">
      <c r="AA53" s="124">
        <v>44576</v>
      </c>
      <c r="AB53" s="2">
        <v>4</v>
      </c>
      <c r="AF53" s="124">
        <v>44576</v>
      </c>
      <c r="AG53" s="2">
        <v>4</v>
      </c>
    </row>
    <row r="54" spans="27:33" x14ac:dyDescent="0.35">
      <c r="AA54" s="124">
        <v>44577</v>
      </c>
      <c r="AB54" s="2">
        <v>5</v>
      </c>
      <c r="AF54" s="124">
        <v>44577</v>
      </c>
      <c r="AG54" s="2">
        <v>5</v>
      </c>
    </row>
    <row r="55" spans="27:33" x14ac:dyDescent="0.35">
      <c r="AA55" s="124">
        <v>44578</v>
      </c>
      <c r="AB55" s="2">
        <v>4</v>
      </c>
      <c r="AF55" s="124">
        <v>44578</v>
      </c>
      <c r="AG55" s="2">
        <v>4</v>
      </c>
    </row>
    <row r="56" spans="27:33" x14ac:dyDescent="0.35">
      <c r="AA56" s="124">
        <v>44579</v>
      </c>
      <c r="AB56" s="2">
        <v>3</v>
      </c>
      <c r="AF56" s="124">
        <v>44579</v>
      </c>
      <c r="AG56" s="2">
        <v>3</v>
      </c>
    </row>
    <row r="57" spans="27:33" x14ac:dyDescent="0.35">
      <c r="AA57" s="124">
        <v>44580</v>
      </c>
      <c r="AB57" s="2">
        <v>2</v>
      </c>
      <c r="AF57" s="124">
        <v>44580</v>
      </c>
      <c r="AG57" s="2">
        <v>2</v>
      </c>
    </row>
    <row r="58" spans="27:33" x14ac:dyDescent="0.35">
      <c r="AA58" s="124">
        <v>44581</v>
      </c>
      <c r="AB58" s="2">
        <v>2</v>
      </c>
      <c r="AF58" s="124">
        <v>44581</v>
      </c>
      <c r="AG58" s="2">
        <v>2</v>
      </c>
    </row>
    <row r="59" spans="27:33" x14ac:dyDescent="0.35">
      <c r="AA59" s="124">
        <v>44582</v>
      </c>
      <c r="AB59" s="2">
        <v>3</v>
      </c>
      <c r="AF59" s="124">
        <v>44582</v>
      </c>
      <c r="AG59" s="2">
        <v>3</v>
      </c>
    </row>
    <row r="60" spans="27:33" x14ac:dyDescent="0.35">
      <c r="AA60" s="124">
        <v>44583</v>
      </c>
      <c r="AB60" s="2">
        <v>8</v>
      </c>
      <c r="AF60" s="124">
        <v>44583</v>
      </c>
      <c r="AG60" s="2">
        <v>8</v>
      </c>
    </row>
    <row r="61" spans="27:33" x14ac:dyDescent="0.35">
      <c r="AA61" s="124">
        <v>44584</v>
      </c>
      <c r="AB61" s="2">
        <v>6</v>
      </c>
      <c r="AF61" s="124">
        <v>44584</v>
      </c>
      <c r="AG61" s="2">
        <v>6</v>
      </c>
    </row>
    <row r="62" spans="27:33" x14ac:dyDescent="0.35">
      <c r="AA62" s="124">
        <v>44585</v>
      </c>
      <c r="AB62" s="2">
        <v>3</v>
      </c>
      <c r="AF62" s="124">
        <v>44585</v>
      </c>
      <c r="AG62" s="2">
        <v>3</v>
      </c>
    </row>
    <row r="63" spans="27:33" x14ac:dyDescent="0.35">
      <c r="AA63" s="124">
        <v>44586</v>
      </c>
      <c r="AB63" s="2">
        <v>5</v>
      </c>
      <c r="AF63" s="124">
        <v>44586</v>
      </c>
      <c r="AG63" s="2">
        <v>5</v>
      </c>
    </row>
    <row r="64" spans="27:33" x14ac:dyDescent="0.35">
      <c r="AA64" s="124">
        <v>44587</v>
      </c>
      <c r="AB64" s="2">
        <v>7</v>
      </c>
      <c r="AF64" s="124">
        <v>44587</v>
      </c>
      <c r="AG64" s="2">
        <v>7</v>
      </c>
    </row>
    <row r="65" spans="27:33" x14ac:dyDescent="0.35">
      <c r="AA65" s="124">
        <v>44588</v>
      </c>
      <c r="AB65" s="2">
        <v>1</v>
      </c>
      <c r="AF65" s="124">
        <v>44588</v>
      </c>
      <c r="AG65" s="2">
        <v>1</v>
      </c>
    </row>
    <row r="66" spans="27:33" x14ac:dyDescent="0.35">
      <c r="AA66" s="124">
        <v>44589</v>
      </c>
      <c r="AB66" s="2">
        <v>2</v>
      </c>
      <c r="AF66" s="124">
        <v>44589</v>
      </c>
      <c r="AG66" s="2">
        <v>2</v>
      </c>
    </row>
    <row r="67" spans="27:33" x14ac:dyDescent="0.35">
      <c r="AA67" s="124">
        <v>44590</v>
      </c>
      <c r="AB67" s="2">
        <v>1</v>
      </c>
      <c r="AF67" s="124">
        <v>44590</v>
      </c>
      <c r="AG67" s="2">
        <v>1</v>
      </c>
    </row>
    <row r="68" spans="27:33" x14ac:dyDescent="0.35">
      <c r="AA68" s="124">
        <v>44591</v>
      </c>
      <c r="AB68" s="2">
        <v>4</v>
      </c>
      <c r="AF68" s="124">
        <v>44591</v>
      </c>
      <c r="AG68" s="2">
        <v>4</v>
      </c>
    </row>
    <row r="69" spans="27:33" x14ac:dyDescent="0.35">
      <c r="AA69" s="124">
        <v>44592</v>
      </c>
      <c r="AB69" s="2">
        <v>2</v>
      </c>
      <c r="AF69" s="124">
        <v>44592</v>
      </c>
      <c r="AG69" s="2">
        <v>2</v>
      </c>
    </row>
    <row r="70" spans="27:33" x14ac:dyDescent="0.35">
      <c r="AA70" s="124">
        <v>44593</v>
      </c>
      <c r="AB70" s="2">
        <v>1</v>
      </c>
      <c r="AF70" s="124">
        <v>44593</v>
      </c>
      <c r="AG70" s="2">
        <v>1</v>
      </c>
    </row>
    <row r="71" spans="27:33" x14ac:dyDescent="0.35">
      <c r="AA71" s="124">
        <v>44594</v>
      </c>
      <c r="AB71" s="2">
        <v>1</v>
      </c>
      <c r="AF71" s="124">
        <v>44594</v>
      </c>
      <c r="AG71" s="2">
        <v>1</v>
      </c>
    </row>
    <row r="72" spans="27:33" x14ac:dyDescent="0.35">
      <c r="AA72" s="124">
        <v>44595</v>
      </c>
      <c r="AB72" s="2">
        <v>3</v>
      </c>
      <c r="AF72" s="124">
        <v>44595</v>
      </c>
      <c r="AG72" s="2">
        <v>3</v>
      </c>
    </row>
    <row r="73" spans="27:33" x14ac:dyDescent="0.35">
      <c r="AA73" s="124">
        <v>44596</v>
      </c>
      <c r="AB73" s="2">
        <v>1</v>
      </c>
      <c r="AF73" s="124">
        <v>44596</v>
      </c>
      <c r="AG73" s="2">
        <v>1</v>
      </c>
    </row>
    <row r="74" spans="27:33" x14ac:dyDescent="0.35">
      <c r="AA74" s="124">
        <v>44597</v>
      </c>
      <c r="AB74" s="2">
        <v>2</v>
      </c>
      <c r="AF74" s="124">
        <v>44597</v>
      </c>
      <c r="AG74" s="2">
        <v>2</v>
      </c>
    </row>
    <row r="75" spans="27:33" x14ac:dyDescent="0.35">
      <c r="AA75" s="124">
        <v>44598</v>
      </c>
      <c r="AB75" s="2">
        <v>3</v>
      </c>
      <c r="AF75" s="124">
        <v>44598</v>
      </c>
      <c r="AG75" s="2">
        <v>3</v>
      </c>
    </row>
    <row r="76" spans="27:33" x14ac:dyDescent="0.35">
      <c r="AA76" s="124">
        <v>44599</v>
      </c>
      <c r="AB76" s="2">
        <v>5</v>
      </c>
      <c r="AF76" s="124">
        <v>44599</v>
      </c>
      <c r="AG76" s="2">
        <v>5</v>
      </c>
    </row>
    <row r="77" spans="27:33" x14ac:dyDescent="0.35">
      <c r="AA77" s="124">
        <v>44600</v>
      </c>
      <c r="AB77" s="2">
        <v>2</v>
      </c>
      <c r="AF77" s="124">
        <v>44600</v>
      </c>
      <c r="AG77" s="2">
        <v>2</v>
      </c>
    </row>
    <row r="78" spans="27:33" x14ac:dyDescent="0.35">
      <c r="AA78" s="124">
        <v>44601</v>
      </c>
      <c r="AB78" s="2">
        <v>6</v>
      </c>
      <c r="AF78" s="124">
        <v>44601</v>
      </c>
      <c r="AG78" s="2">
        <v>6</v>
      </c>
    </row>
    <row r="79" spans="27:33" x14ac:dyDescent="0.35">
      <c r="AA79" s="124">
        <v>44602</v>
      </c>
      <c r="AB79" s="2">
        <v>2</v>
      </c>
      <c r="AF79" s="124">
        <v>44602</v>
      </c>
      <c r="AG79" s="2">
        <v>2</v>
      </c>
    </row>
    <row r="80" spans="27:33" x14ac:dyDescent="0.35">
      <c r="AA80" s="124">
        <v>44603</v>
      </c>
      <c r="AB80" s="2">
        <v>1</v>
      </c>
      <c r="AF80" s="124">
        <v>44603</v>
      </c>
      <c r="AG80" s="2">
        <v>1</v>
      </c>
    </row>
    <row r="81" spans="27:33" x14ac:dyDescent="0.35">
      <c r="AA81" s="124">
        <v>44604</v>
      </c>
      <c r="AB81" s="2">
        <v>2</v>
      </c>
      <c r="AF81" s="124">
        <v>44604</v>
      </c>
      <c r="AG81" s="2">
        <v>2</v>
      </c>
    </row>
    <row r="82" spans="27:33" x14ac:dyDescent="0.35">
      <c r="AA82" s="124">
        <v>44605</v>
      </c>
      <c r="AB82" s="2">
        <v>5</v>
      </c>
      <c r="AF82" s="124">
        <v>44605</v>
      </c>
      <c r="AG82" s="2">
        <v>5</v>
      </c>
    </row>
    <row r="83" spans="27:33" x14ac:dyDescent="0.35">
      <c r="AA83" s="124">
        <v>44606</v>
      </c>
      <c r="AB83" s="2">
        <v>2</v>
      </c>
      <c r="AF83" s="124">
        <v>44606</v>
      </c>
      <c r="AG83" s="2">
        <v>2</v>
      </c>
    </row>
    <row r="84" spans="27:33" x14ac:dyDescent="0.35">
      <c r="AA84" s="124">
        <v>44607</v>
      </c>
      <c r="AB84" s="2">
        <v>5</v>
      </c>
      <c r="AF84" s="124">
        <v>44607</v>
      </c>
      <c r="AG84" s="2">
        <v>5</v>
      </c>
    </row>
    <row r="85" spans="27:33" x14ac:dyDescent="0.35">
      <c r="AA85" s="124">
        <v>44608</v>
      </c>
      <c r="AB85" s="2">
        <v>5</v>
      </c>
      <c r="AF85" s="124">
        <v>44608</v>
      </c>
      <c r="AG85" s="2">
        <v>5</v>
      </c>
    </row>
    <row r="86" spans="27:33" x14ac:dyDescent="0.35">
      <c r="AA86" s="124">
        <v>44609</v>
      </c>
      <c r="AB86" s="2">
        <v>4</v>
      </c>
      <c r="AF86" s="124">
        <v>44609</v>
      </c>
      <c r="AG86" s="2">
        <v>4</v>
      </c>
    </row>
    <row r="87" spans="27:33" x14ac:dyDescent="0.35">
      <c r="AA87" s="124">
        <v>44610</v>
      </c>
      <c r="AB87" s="2">
        <v>4</v>
      </c>
      <c r="AF87" s="124">
        <v>44610</v>
      </c>
      <c r="AG87" s="2">
        <v>4</v>
      </c>
    </row>
    <row r="88" spans="27:33" x14ac:dyDescent="0.35">
      <c r="AA88" s="124">
        <v>44611</v>
      </c>
      <c r="AB88" s="2">
        <v>6</v>
      </c>
      <c r="AF88" s="124">
        <v>44611</v>
      </c>
      <c r="AG88" s="2">
        <v>6</v>
      </c>
    </row>
    <row r="89" spans="27:33" x14ac:dyDescent="0.35">
      <c r="AA89" s="124">
        <v>44612</v>
      </c>
      <c r="AB89" s="2">
        <v>6</v>
      </c>
      <c r="AF89" s="124">
        <v>44612</v>
      </c>
      <c r="AG89" s="2">
        <v>6</v>
      </c>
    </row>
    <row r="90" spans="27:33" x14ac:dyDescent="0.35">
      <c r="AA90" s="124">
        <v>44613</v>
      </c>
      <c r="AB90" s="2">
        <v>1</v>
      </c>
      <c r="AF90" s="124">
        <v>44613</v>
      </c>
      <c r="AG90" s="2">
        <v>1</v>
      </c>
    </row>
    <row r="91" spans="27:33" x14ac:dyDescent="0.35">
      <c r="AA91" s="124">
        <v>44614</v>
      </c>
      <c r="AB91" s="2">
        <v>6</v>
      </c>
      <c r="AF91" s="124">
        <v>44614</v>
      </c>
      <c r="AG91" s="2">
        <v>6</v>
      </c>
    </row>
    <row r="92" spans="27:33" x14ac:dyDescent="0.35">
      <c r="AA92" s="124">
        <v>44615</v>
      </c>
      <c r="AB92" s="2">
        <v>4</v>
      </c>
      <c r="AF92" s="124">
        <v>44615</v>
      </c>
      <c r="AG92" s="2">
        <v>4</v>
      </c>
    </row>
    <row r="93" spans="27:33" x14ac:dyDescent="0.35">
      <c r="AA93" s="124">
        <v>44616</v>
      </c>
      <c r="AB93" s="2">
        <v>3</v>
      </c>
      <c r="AF93" s="124">
        <v>44616</v>
      </c>
      <c r="AG93" s="2">
        <v>3</v>
      </c>
    </row>
    <row r="94" spans="27:33" x14ac:dyDescent="0.35">
      <c r="AA94" s="124">
        <v>44617</v>
      </c>
      <c r="AB94" s="2">
        <v>2</v>
      </c>
      <c r="AF94" s="124">
        <v>44617</v>
      </c>
      <c r="AG94" s="2">
        <v>2</v>
      </c>
    </row>
    <row r="95" spans="27:33" x14ac:dyDescent="0.35">
      <c r="AA95" s="124">
        <v>44618</v>
      </c>
      <c r="AB95" s="2">
        <v>2</v>
      </c>
      <c r="AF95" s="124">
        <v>44618</v>
      </c>
      <c r="AG95" s="2">
        <v>2</v>
      </c>
    </row>
    <row r="96" spans="27:33" x14ac:dyDescent="0.35">
      <c r="AA96" s="124">
        <v>44619</v>
      </c>
      <c r="AB96" s="2">
        <v>4</v>
      </c>
      <c r="AF96" s="124">
        <v>44619</v>
      </c>
      <c r="AG96" s="2">
        <v>4</v>
      </c>
    </row>
  </sheetData>
  <mergeCells count="4">
    <mergeCell ref="AF1:AI1"/>
    <mergeCell ref="AA1:AD1"/>
    <mergeCell ref="B1:C1"/>
    <mergeCell ref="E1:W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O97"/>
  <sheetViews>
    <sheetView zoomScale="40" zoomScaleNormal="40" workbookViewId="0">
      <selection activeCell="BG4" sqref="BG4"/>
    </sheetView>
  </sheetViews>
  <sheetFormatPr defaultRowHeight="14.5" x14ac:dyDescent="0.35"/>
  <cols>
    <col min="2" max="2" width="21.6328125" bestFit="1" customWidth="1"/>
    <col min="3" max="3" width="14.453125" bestFit="1" customWidth="1"/>
    <col min="4" max="4" width="15.54296875" bestFit="1" customWidth="1"/>
    <col min="5" max="5" width="11.7265625" bestFit="1" customWidth="1"/>
    <col min="10" max="10" width="5.81640625" customWidth="1"/>
    <col min="12" max="12" width="21.6328125" bestFit="1" customWidth="1"/>
    <col min="13" max="13" width="14.453125" bestFit="1" customWidth="1"/>
    <col min="14" max="14" width="15.54296875" bestFit="1" customWidth="1"/>
    <col min="15" max="15" width="8.7265625" bestFit="1" customWidth="1"/>
    <col min="23" max="23" width="21.6328125" bestFit="1" customWidth="1"/>
    <col min="24" max="24" width="25.7265625" bestFit="1" customWidth="1"/>
    <col min="25" max="25" width="15.54296875" bestFit="1" customWidth="1"/>
    <col min="26" max="27" width="10.36328125" bestFit="1" customWidth="1"/>
    <col min="28" max="28" width="15.54296875" bestFit="1" customWidth="1"/>
    <col min="29" max="29" width="11.7265625" bestFit="1" customWidth="1"/>
    <col min="30" max="30" width="13.08984375" bestFit="1" customWidth="1"/>
    <col min="31" max="31" width="15.54296875" bestFit="1" customWidth="1"/>
    <col min="32" max="32" width="11.7265625" bestFit="1" customWidth="1"/>
    <col min="33" max="33" width="34.6328125" bestFit="1" customWidth="1"/>
    <col min="34" max="34" width="15.54296875" bestFit="1" customWidth="1"/>
    <col min="35" max="35" width="11.7265625" bestFit="1" customWidth="1"/>
    <col min="36" max="36" width="15.81640625" bestFit="1" customWidth="1"/>
    <col min="37" max="37" width="15.54296875" bestFit="1" customWidth="1"/>
    <col min="38" max="38" width="11.7265625" bestFit="1" customWidth="1"/>
    <col min="39" max="39" width="15.08984375" bestFit="1" customWidth="1"/>
    <col min="40" max="40" width="15.54296875" bestFit="1" customWidth="1"/>
    <col min="41" max="41" width="11.7265625" bestFit="1" customWidth="1"/>
    <col min="42" max="43" width="15.54296875" bestFit="1" customWidth="1"/>
    <col min="44" max="44" width="10.36328125" bestFit="1" customWidth="1"/>
    <col min="45" max="45" width="15.54296875" bestFit="1" customWidth="1"/>
    <col min="46" max="46" width="23.26953125" bestFit="1" customWidth="1"/>
    <col min="47" max="47" width="16.1796875" bestFit="1" customWidth="1"/>
    <col min="48" max="55" width="10.26953125" customWidth="1"/>
    <col min="56" max="57" width="9.1796875" customWidth="1"/>
    <col min="59" max="59" width="21.6328125" bestFit="1" customWidth="1"/>
    <col min="60" max="60" width="14.453125" bestFit="1" customWidth="1"/>
    <col min="61" max="61" width="15.54296875" bestFit="1" customWidth="1"/>
    <col min="62" max="62" width="8.7265625" bestFit="1" customWidth="1"/>
  </cols>
  <sheetData>
    <row r="1" spans="2:67" x14ac:dyDescent="0.35">
      <c r="B1" s="192" t="s">
        <v>262</v>
      </c>
      <c r="C1" s="192"/>
      <c r="D1" s="192"/>
      <c r="E1" s="192"/>
      <c r="F1" s="192"/>
      <c r="G1" s="192"/>
      <c r="H1" s="192"/>
      <c r="I1" s="192"/>
      <c r="J1" s="37"/>
      <c r="K1" s="37"/>
      <c r="L1" s="191" t="s">
        <v>263</v>
      </c>
      <c r="M1" s="191"/>
      <c r="N1" s="191"/>
      <c r="O1" s="191"/>
      <c r="P1" s="191"/>
      <c r="Q1" s="191"/>
      <c r="R1" s="191"/>
      <c r="S1" s="191"/>
      <c r="T1" s="191"/>
      <c r="U1" s="37"/>
      <c r="V1" s="37"/>
      <c r="W1" s="191" t="s">
        <v>264</v>
      </c>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37"/>
    </row>
    <row r="3" spans="2:67" x14ac:dyDescent="0.35">
      <c r="B3" s="18" t="s">
        <v>39</v>
      </c>
      <c r="C3" t="s" vm="1">
        <v>334</v>
      </c>
      <c r="G3" s="193" t="s">
        <v>200</v>
      </c>
      <c r="H3" s="193"/>
      <c r="I3" s="193"/>
      <c r="L3" s="18" t="s">
        <v>39</v>
      </c>
      <c r="M3" t="s" vm="1">
        <v>334</v>
      </c>
      <c r="Q3" s="36" t="s">
        <v>202</v>
      </c>
      <c r="R3" s="34">
        <f>MAX(M6:M1048576)</f>
        <v>0</v>
      </c>
      <c r="S3" s="34" t="e">
        <f>MATCH(R3,M6:M1048576,0)</f>
        <v>#N/A</v>
      </c>
      <c r="T3" s="34" t="e">
        <f>INDEX(L6:L1048576,S3)</f>
        <v>#N/A</v>
      </c>
      <c r="W3" s="18" t="s">
        <v>39</v>
      </c>
      <c r="X3" t="s" vm="1">
        <v>334</v>
      </c>
    </row>
    <row r="4" spans="2:67" x14ac:dyDescent="0.35">
      <c r="F4" s="41"/>
      <c r="G4" s="41" t="s">
        <v>202</v>
      </c>
      <c r="H4" s="41" t="s">
        <v>204</v>
      </c>
      <c r="I4" s="41" t="s">
        <v>35</v>
      </c>
      <c r="J4" s="10"/>
      <c r="K4" s="41"/>
      <c r="P4" s="41"/>
      <c r="Q4" s="36" t="s">
        <v>204</v>
      </c>
      <c r="R4" s="34">
        <f>MAX(N6:N1048576, 0)</f>
        <v>0</v>
      </c>
      <c r="S4" s="34" t="e">
        <f>MATCH(R4,N6:N1048576,0)</f>
        <v>#N/A</v>
      </c>
      <c r="T4" s="34" t="e">
        <f>INDEX(L6:L1048576,S4)</f>
        <v>#N/A</v>
      </c>
      <c r="BG4" s="18" t="s">
        <v>39</v>
      </c>
      <c r="BH4" t="s" vm="1">
        <v>334</v>
      </c>
    </row>
    <row r="5" spans="2:67" x14ac:dyDescent="0.35">
      <c r="B5" s="18" t="s">
        <v>37</v>
      </c>
      <c r="C5" t="s">
        <v>202</v>
      </c>
      <c r="D5" t="s">
        <v>204</v>
      </c>
      <c r="E5" t="s">
        <v>35</v>
      </c>
      <c r="F5" s="41"/>
      <c r="G5" s="34">
        <f>C6/4</f>
        <v>0</v>
      </c>
      <c r="H5" s="34">
        <f>D6/4</f>
        <v>0</v>
      </c>
      <c r="I5" s="34">
        <f>E6/4</f>
        <v>165667.5</v>
      </c>
      <c r="J5" s="34"/>
      <c r="K5" s="41"/>
      <c r="L5" s="18" t="s">
        <v>37</v>
      </c>
      <c r="M5" t="s">
        <v>202</v>
      </c>
      <c r="N5" t="s">
        <v>204</v>
      </c>
      <c r="O5" t="s">
        <v>35</v>
      </c>
      <c r="P5" s="41"/>
      <c r="Q5" s="36" t="s">
        <v>35</v>
      </c>
      <c r="R5" s="34">
        <f>MAX(O6:O1048576)</f>
        <v>96582</v>
      </c>
      <c r="S5" s="34">
        <f>MATCH(R5,O6:O1048576,0)</f>
        <v>87</v>
      </c>
      <c r="T5" s="34">
        <f>INDEX(L6:L1048576,S5)</f>
        <v>44615</v>
      </c>
      <c r="V5" s="41"/>
      <c r="X5" s="18" t="s">
        <v>41</v>
      </c>
      <c r="AW5" s="17" t="s">
        <v>202</v>
      </c>
      <c r="AX5" t="s">
        <v>40</v>
      </c>
      <c r="AY5" s="41" t="s">
        <v>1</v>
      </c>
      <c r="AZ5" s="41" t="s">
        <v>220</v>
      </c>
      <c r="BA5" s="41" t="s">
        <v>249</v>
      </c>
      <c r="BB5" s="41" t="s">
        <v>217</v>
      </c>
      <c r="BC5" s="41" t="s">
        <v>218</v>
      </c>
      <c r="BD5" s="44" t="s">
        <v>252</v>
      </c>
      <c r="BE5" s="41" t="s">
        <v>251</v>
      </c>
    </row>
    <row r="6" spans="2:67" x14ac:dyDescent="0.35">
      <c r="B6" s="19">
        <v>1</v>
      </c>
      <c r="C6" s="2"/>
      <c r="D6" s="2"/>
      <c r="E6" s="2">
        <v>662670</v>
      </c>
      <c r="F6" s="34"/>
      <c r="G6" s="34">
        <f>C7/7</f>
        <v>0</v>
      </c>
      <c r="H6" s="34">
        <f t="shared" ref="G6:I8" si="0">D7/7</f>
        <v>0</v>
      </c>
      <c r="I6" s="34">
        <f>E7/7</f>
        <v>95070.28571428571</v>
      </c>
      <c r="J6" s="34"/>
      <c r="K6" s="34"/>
      <c r="L6" s="124">
        <v>44529</v>
      </c>
      <c r="M6" s="2"/>
      <c r="N6" s="2"/>
      <c r="O6" s="2">
        <v>94786</v>
      </c>
      <c r="P6" s="34"/>
      <c r="Q6" s="34"/>
      <c r="R6" s="34"/>
      <c r="S6" s="34"/>
      <c r="V6" s="34"/>
      <c r="X6" t="s">
        <v>282</v>
      </c>
      <c r="AA6" t="s">
        <v>1</v>
      </c>
      <c r="AD6" t="s">
        <v>220</v>
      </c>
      <c r="AG6" t="s">
        <v>253</v>
      </c>
      <c r="AJ6" t="s">
        <v>250</v>
      </c>
      <c r="AM6" t="s">
        <v>217</v>
      </c>
      <c r="AP6" t="s">
        <v>218</v>
      </c>
      <c r="AS6" t="s">
        <v>201</v>
      </c>
      <c r="AT6" t="s">
        <v>203</v>
      </c>
      <c r="AU6" t="s">
        <v>205</v>
      </c>
      <c r="AW6" s="41" t="s">
        <v>42</v>
      </c>
      <c r="AX6" s="34">
        <f>(VLOOKUP(AW6,$W$8:$AU$1048576,23,FALSE))/7</f>
        <v>0</v>
      </c>
      <c r="AY6" s="34">
        <f>(VLOOKUP(AW6,$W$8:$AU$1048576,5,FALSE))/7</f>
        <v>0</v>
      </c>
      <c r="AZ6" s="34">
        <f>(VLOOKUP(AW6,$W$8:$AU$1048576,8,FALSE))/7</f>
        <v>0</v>
      </c>
      <c r="BA6" s="34">
        <f>(VLOOKUP(AW6,$W$8:$AU$1048576,11,FALSE))/7</f>
        <v>0</v>
      </c>
      <c r="BB6" s="34">
        <f>(VLOOKUP(AW6,$W$8:$AU$1048576,17,FALSE))/7</f>
        <v>0</v>
      </c>
      <c r="BC6" s="34">
        <f>(VLOOKUP(AW6,$W$8:$AU$1048576,20,FALSE))/7</f>
        <v>0</v>
      </c>
      <c r="BD6" s="34">
        <f>(VLOOKUP(AW6,$W$8:$AU$1048576,2,FALSE))/7</f>
        <v>0</v>
      </c>
      <c r="BE6" s="34">
        <f>(VLOOKUP(AW6,$W$8:$AU$1048576,14,FALSE))/7</f>
        <v>0</v>
      </c>
      <c r="BG6" s="18" t="s">
        <v>37</v>
      </c>
      <c r="BH6" t="s">
        <v>202</v>
      </c>
      <c r="BI6" t="s">
        <v>204</v>
      </c>
      <c r="BJ6" t="s">
        <v>35</v>
      </c>
      <c r="BL6" s="36" t="s">
        <v>202</v>
      </c>
      <c r="BM6" s="34">
        <f>MAX(BH7:BH1048576)</f>
        <v>0</v>
      </c>
      <c r="BN6" s="34" t="e">
        <f>MATCH(BM6,BH7:BH1048576,0)</f>
        <v>#N/A</v>
      </c>
      <c r="BO6" s="34" t="e">
        <f>INDEX(BG7:BG1048576,BN6)</f>
        <v>#N/A</v>
      </c>
    </row>
    <row r="7" spans="2:67" x14ac:dyDescent="0.35">
      <c r="B7" s="19">
        <v>2</v>
      </c>
      <c r="C7" s="2"/>
      <c r="D7" s="2"/>
      <c r="E7" s="2">
        <v>665492</v>
      </c>
      <c r="F7" s="34"/>
      <c r="G7" s="34">
        <f t="shared" si="0"/>
        <v>0</v>
      </c>
      <c r="H7" s="34">
        <f t="shared" si="0"/>
        <v>0</v>
      </c>
      <c r="I7" s="34">
        <f t="shared" si="0"/>
        <v>94958.142857142855</v>
      </c>
      <c r="J7" s="34"/>
      <c r="K7" s="34"/>
      <c r="L7" s="124">
        <v>44530</v>
      </c>
      <c r="M7" s="2"/>
      <c r="N7" s="2"/>
      <c r="O7" s="2">
        <v>94985</v>
      </c>
      <c r="P7" s="34"/>
      <c r="Q7" s="34"/>
      <c r="R7" s="34"/>
      <c r="S7" s="34"/>
      <c r="V7" s="34"/>
      <c r="W7" s="18" t="s">
        <v>37</v>
      </c>
      <c r="X7" t="s">
        <v>202</v>
      </c>
      <c r="Y7" t="s">
        <v>204</v>
      </c>
      <c r="Z7" t="s">
        <v>35</v>
      </c>
      <c r="AA7" t="s">
        <v>202</v>
      </c>
      <c r="AB7" t="s">
        <v>204</v>
      </c>
      <c r="AC7" t="s">
        <v>35</v>
      </c>
      <c r="AD7" t="s">
        <v>202</v>
      </c>
      <c r="AE7" t="s">
        <v>204</v>
      </c>
      <c r="AF7" t="s">
        <v>35</v>
      </c>
      <c r="AG7" t="s">
        <v>202</v>
      </c>
      <c r="AH7" t="s">
        <v>204</v>
      </c>
      <c r="AI7" t="s">
        <v>35</v>
      </c>
      <c r="AJ7" t="s">
        <v>202</v>
      </c>
      <c r="AK7" t="s">
        <v>204</v>
      </c>
      <c r="AL7" t="s">
        <v>35</v>
      </c>
      <c r="AM7" t="s">
        <v>202</v>
      </c>
      <c r="AN7" t="s">
        <v>204</v>
      </c>
      <c r="AO7" t="s">
        <v>35</v>
      </c>
      <c r="AP7" t="s">
        <v>202</v>
      </c>
      <c r="AQ7" t="s">
        <v>204</v>
      </c>
      <c r="AR7" t="s">
        <v>35</v>
      </c>
      <c r="AW7" s="41" t="s">
        <v>43</v>
      </c>
      <c r="AX7" s="34">
        <f t="shared" ref="AX7:AX18" si="1">(VLOOKUP(AW7,$W$8:$AU$1048576,23,FALSE))/7</f>
        <v>0</v>
      </c>
      <c r="AY7" s="34">
        <f t="shared" ref="AY7:AY18" si="2">(VLOOKUP(AW7,$W$8:$AU$1048576,5,FALSE))/7</f>
        <v>0</v>
      </c>
      <c r="AZ7" s="34">
        <f t="shared" ref="AZ7:AZ18" si="3">(VLOOKUP(AW7,$W$8:$AU$1048576,8,FALSE))/7</f>
        <v>0</v>
      </c>
      <c r="BA7" s="34">
        <f t="shared" ref="BA7:BA18" si="4">(VLOOKUP(AW7,$W$8:$AU$1048576,8,FALSE))/7</f>
        <v>0</v>
      </c>
      <c r="BB7" s="34">
        <f t="shared" ref="BB7:BB18" si="5">(VLOOKUP(AW7,$W$8:$AU$1048576,17,FALSE))/7</f>
        <v>0</v>
      </c>
      <c r="BC7" s="34">
        <f t="shared" ref="BC7:BC18" si="6">(VLOOKUP(AW7,$W$8:$AU$1048576,20,FALSE))/7</f>
        <v>0</v>
      </c>
      <c r="BD7" s="34">
        <f t="shared" ref="BD7:BD17" si="7">(VLOOKUP(AW7,$W$8:$AU$1048576,2,FALSE))/7</f>
        <v>0</v>
      </c>
      <c r="BE7" s="34">
        <f t="shared" ref="BE7:BE18" si="8">(VLOOKUP(AW7,$W$8:$AU$1048576,14,FALSE))/7</f>
        <v>0</v>
      </c>
      <c r="BG7" s="124">
        <v>44529</v>
      </c>
      <c r="BH7" s="2"/>
      <c r="BI7" s="2"/>
      <c r="BJ7" s="2">
        <v>94786</v>
      </c>
      <c r="BL7" s="36" t="s">
        <v>204</v>
      </c>
      <c r="BM7" s="34">
        <f>MAX(BI7:BI1048576,0)</f>
        <v>0</v>
      </c>
      <c r="BN7" s="34" t="e">
        <f>MATCH(BM7,BI7:BI1048576,0)</f>
        <v>#N/A</v>
      </c>
      <c r="BO7" s="34" t="e">
        <f>INDEX(BG7:BG1048576,BN7)</f>
        <v>#N/A</v>
      </c>
    </row>
    <row r="8" spans="2:67" x14ac:dyDescent="0.35">
      <c r="B8" s="19">
        <v>3</v>
      </c>
      <c r="C8" s="2"/>
      <c r="D8" s="2"/>
      <c r="E8" s="2">
        <v>664707</v>
      </c>
      <c r="F8" s="34"/>
      <c r="G8" s="34">
        <f t="shared" si="0"/>
        <v>0</v>
      </c>
      <c r="H8" s="34">
        <f t="shared" si="0"/>
        <v>0</v>
      </c>
      <c r="I8" s="34">
        <f t="shared" si="0"/>
        <v>93420.28571428571</v>
      </c>
      <c r="J8" s="34"/>
      <c r="K8" s="34"/>
      <c r="L8" s="124">
        <v>44531</v>
      </c>
      <c r="M8" s="2"/>
      <c r="N8" s="2"/>
      <c r="O8" s="2">
        <v>93986</v>
      </c>
      <c r="P8" s="34"/>
      <c r="Q8" s="34"/>
      <c r="R8" s="34"/>
      <c r="S8" s="34"/>
      <c r="V8" s="34"/>
      <c r="W8" s="19" t="s">
        <v>42</v>
      </c>
      <c r="X8" s="2"/>
      <c r="Y8" s="2"/>
      <c r="Z8" s="2">
        <v>71359</v>
      </c>
      <c r="AA8" s="2"/>
      <c r="AB8" s="2"/>
      <c r="AC8" s="2">
        <v>91929</v>
      </c>
      <c r="AD8" s="2"/>
      <c r="AE8" s="2"/>
      <c r="AF8" s="2">
        <v>126465</v>
      </c>
      <c r="AG8" s="2"/>
      <c r="AH8" s="2"/>
      <c r="AI8" s="2">
        <v>114597</v>
      </c>
      <c r="AJ8" s="2"/>
      <c r="AK8" s="2"/>
      <c r="AL8" s="2">
        <v>98543</v>
      </c>
      <c r="AM8" s="2"/>
      <c r="AN8" s="2"/>
      <c r="AO8" s="2">
        <v>91727</v>
      </c>
      <c r="AP8" s="2"/>
      <c r="AQ8" s="2"/>
      <c r="AR8" s="2">
        <v>68050</v>
      </c>
      <c r="AS8" s="2"/>
      <c r="AT8" s="2"/>
      <c r="AU8" s="2">
        <v>662670</v>
      </c>
      <c r="AV8" s="2"/>
      <c r="AW8" s="41" t="s">
        <v>44</v>
      </c>
      <c r="AX8" s="34">
        <f t="shared" si="1"/>
        <v>0</v>
      </c>
      <c r="AY8" s="34">
        <f t="shared" si="2"/>
        <v>0</v>
      </c>
      <c r="AZ8" s="34">
        <f t="shared" si="3"/>
        <v>0</v>
      </c>
      <c r="BA8" s="34">
        <f t="shared" si="4"/>
        <v>0</v>
      </c>
      <c r="BB8" s="34">
        <f t="shared" si="5"/>
        <v>0</v>
      </c>
      <c r="BC8" s="34">
        <f t="shared" si="6"/>
        <v>0</v>
      </c>
      <c r="BD8" s="34">
        <f t="shared" si="7"/>
        <v>0</v>
      </c>
      <c r="BE8" s="34">
        <f t="shared" si="8"/>
        <v>0</v>
      </c>
      <c r="BG8" s="124">
        <v>44530</v>
      </c>
      <c r="BH8" s="2"/>
      <c r="BI8" s="2"/>
      <c r="BJ8" s="2">
        <v>94985</v>
      </c>
      <c r="BL8" s="36" t="s">
        <v>35</v>
      </c>
      <c r="BM8" s="34">
        <f>MAX(BJ7:BJ1048576)</f>
        <v>96582</v>
      </c>
      <c r="BN8" s="34">
        <f>MATCH(BM8,BJ7:BJ1048576,0)</f>
        <v>87</v>
      </c>
      <c r="BO8" s="34">
        <f>INDEX(BG7:BG1048576,BN8)</f>
        <v>44615</v>
      </c>
    </row>
    <row r="9" spans="2:67" x14ac:dyDescent="0.35">
      <c r="B9" s="19">
        <v>4</v>
      </c>
      <c r="C9" s="2"/>
      <c r="D9" s="2"/>
      <c r="E9" s="2">
        <v>653942</v>
      </c>
      <c r="F9" s="34"/>
      <c r="G9" s="34">
        <f t="shared" ref="G9:G18" si="9">C10/7</f>
        <v>0</v>
      </c>
      <c r="H9" s="34">
        <f>D10/7</f>
        <v>0</v>
      </c>
      <c r="I9" s="34">
        <f t="shared" ref="I9:I18" si="10">E10/7</f>
        <v>93008.857142857145</v>
      </c>
      <c r="J9" s="34"/>
      <c r="K9" s="34"/>
      <c r="L9" s="124">
        <v>44532</v>
      </c>
      <c r="M9" s="2"/>
      <c r="N9" s="2"/>
      <c r="O9" s="2">
        <v>95031</v>
      </c>
      <c r="P9" s="34"/>
      <c r="Q9" s="34"/>
      <c r="R9" s="34"/>
      <c r="S9" s="34"/>
      <c r="V9" s="34"/>
      <c r="W9" s="19" t="s">
        <v>51</v>
      </c>
      <c r="X9" s="2"/>
      <c r="Y9" s="2"/>
      <c r="Z9" s="2">
        <v>72185</v>
      </c>
      <c r="AA9" s="2"/>
      <c r="AB9" s="2"/>
      <c r="AC9" s="2">
        <v>93893</v>
      </c>
      <c r="AD9" s="2"/>
      <c r="AE9" s="2"/>
      <c r="AF9" s="2">
        <v>128230</v>
      </c>
      <c r="AG9" s="2"/>
      <c r="AH9" s="2"/>
      <c r="AI9" s="2">
        <v>116075</v>
      </c>
      <c r="AJ9" s="2"/>
      <c r="AK9" s="2"/>
      <c r="AL9" s="2">
        <v>98607</v>
      </c>
      <c r="AM9" s="2"/>
      <c r="AN9" s="2"/>
      <c r="AO9" s="2">
        <v>92590</v>
      </c>
      <c r="AP9" s="2"/>
      <c r="AQ9" s="2"/>
      <c r="AR9" s="2">
        <v>68652</v>
      </c>
      <c r="AS9" s="2"/>
      <c r="AT9" s="2"/>
      <c r="AU9" s="2">
        <v>670232</v>
      </c>
      <c r="AV9" s="2"/>
      <c r="AW9" s="41" t="s">
        <v>45</v>
      </c>
      <c r="AX9" s="34">
        <f t="shared" si="1"/>
        <v>0</v>
      </c>
      <c r="AY9" s="34">
        <f t="shared" si="2"/>
        <v>0</v>
      </c>
      <c r="AZ9" s="34">
        <f t="shared" si="3"/>
        <v>0</v>
      </c>
      <c r="BA9" s="34">
        <f t="shared" si="4"/>
        <v>0</v>
      </c>
      <c r="BB9" s="34">
        <f t="shared" si="5"/>
        <v>0</v>
      </c>
      <c r="BC9" s="34">
        <f t="shared" si="6"/>
        <v>0</v>
      </c>
      <c r="BD9" s="34">
        <f t="shared" si="7"/>
        <v>0</v>
      </c>
      <c r="BE9" s="34">
        <f t="shared" si="8"/>
        <v>0</v>
      </c>
      <c r="BG9" s="124">
        <v>44531</v>
      </c>
      <c r="BH9" s="2"/>
      <c r="BI9" s="2"/>
      <c r="BJ9" s="2">
        <v>93986</v>
      </c>
    </row>
    <row r="10" spans="2:67" x14ac:dyDescent="0.35">
      <c r="B10" s="19">
        <v>5</v>
      </c>
      <c r="C10" s="2"/>
      <c r="D10" s="2"/>
      <c r="E10" s="2">
        <v>651062</v>
      </c>
      <c r="F10" s="34"/>
      <c r="G10" s="34">
        <f t="shared" si="9"/>
        <v>0</v>
      </c>
      <c r="H10" s="34">
        <f>D11/7</f>
        <v>0</v>
      </c>
      <c r="I10" s="34">
        <f t="shared" si="10"/>
        <v>94616.71428571429</v>
      </c>
      <c r="J10" s="34"/>
      <c r="K10" s="34"/>
      <c r="L10" s="124">
        <v>44533</v>
      </c>
      <c r="M10" s="2"/>
      <c r="N10" s="2"/>
      <c r="O10" s="2">
        <v>95086</v>
      </c>
      <c r="P10" s="34"/>
      <c r="Q10" s="34"/>
      <c r="R10" s="34"/>
      <c r="S10" s="34"/>
      <c r="V10" s="34"/>
      <c r="W10" s="19" t="s">
        <v>52</v>
      </c>
      <c r="X10" s="2"/>
      <c r="Y10" s="2"/>
      <c r="Z10" s="2">
        <v>72198</v>
      </c>
      <c r="AA10" s="2"/>
      <c r="AB10" s="2"/>
      <c r="AC10" s="2">
        <v>93940</v>
      </c>
      <c r="AD10" s="2"/>
      <c r="AE10" s="2"/>
      <c r="AF10" s="2">
        <v>128081</v>
      </c>
      <c r="AG10" s="2"/>
      <c r="AH10" s="2"/>
      <c r="AI10" s="2">
        <v>112760</v>
      </c>
      <c r="AJ10" s="2"/>
      <c r="AK10" s="2"/>
      <c r="AL10" s="2">
        <v>98554</v>
      </c>
      <c r="AM10" s="2"/>
      <c r="AN10" s="2"/>
      <c r="AO10" s="2">
        <v>93240</v>
      </c>
      <c r="AP10" s="2"/>
      <c r="AQ10" s="2"/>
      <c r="AR10" s="2">
        <v>69059</v>
      </c>
      <c r="AS10" s="2"/>
      <c r="AT10" s="2"/>
      <c r="AU10" s="2">
        <v>667832</v>
      </c>
      <c r="AV10" s="34"/>
      <c r="AW10" s="20" t="s">
        <v>46</v>
      </c>
      <c r="AX10" s="34">
        <f t="shared" si="1"/>
        <v>0</v>
      </c>
      <c r="AY10" s="34">
        <f t="shared" si="2"/>
        <v>0</v>
      </c>
      <c r="AZ10" s="34">
        <f t="shared" si="3"/>
        <v>0</v>
      </c>
      <c r="BA10" s="34">
        <f t="shared" si="4"/>
        <v>0</v>
      </c>
      <c r="BB10" s="34">
        <f t="shared" si="5"/>
        <v>0</v>
      </c>
      <c r="BC10" s="34">
        <f t="shared" si="6"/>
        <v>0</v>
      </c>
      <c r="BD10" s="34">
        <f t="shared" si="7"/>
        <v>0</v>
      </c>
      <c r="BE10" s="34">
        <f t="shared" si="8"/>
        <v>0</v>
      </c>
      <c r="BG10" s="124">
        <v>44532</v>
      </c>
      <c r="BH10" s="2"/>
      <c r="BI10" s="2"/>
      <c r="BJ10" s="2">
        <v>95031</v>
      </c>
    </row>
    <row r="11" spans="2:67" x14ac:dyDescent="0.35">
      <c r="B11" s="19">
        <v>6</v>
      </c>
      <c r="C11" s="2"/>
      <c r="D11" s="2"/>
      <c r="E11" s="2">
        <v>662317</v>
      </c>
      <c r="F11" s="34"/>
      <c r="G11" s="34">
        <f t="shared" si="9"/>
        <v>0</v>
      </c>
      <c r="H11" s="34">
        <f t="shared" ref="H11:H18" si="11">D12/7</f>
        <v>0</v>
      </c>
      <c r="I11" s="34">
        <f t="shared" si="10"/>
        <v>95055.571428571435</v>
      </c>
      <c r="J11" s="34"/>
      <c r="K11" s="34"/>
      <c r="L11" s="124">
        <v>44534</v>
      </c>
      <c r="M11" s="2"/>
      <c r="N11" s="2"/>
      <c r="O11" s="2">
        <v>94174</v>
      </c>
      <c r="P11" s="34"/>
      <c r="Q11" s="34"/>
      <c r="R11" s="34"/>
      <c r="S11" s="34"/>
      <c r="V11" s="34"/>
      <c r="W11" s="19" t="s">
        <v>53</v>
      </c>
      <c r="X11" s="2"/>
      <c r="Y11" s="2"/>
      <c r="Z11" s="2">
        <v>72571</v>
      </c>
      <c r="AA11" s="2"/>
      <c r="AB11" s="2"/>
      <c r="AC11" s="2">
        <v>93791</v>
      </c>
      <c r="AD11" s="2"/>
      <c r="AE11" s="2"/>
      <c r="AF11" s="2">
        <v>128342</v>
      </c>
      <c r="AG11" s="2"/>
      <c r="AH11" s="2"/>
      <c r="AI11" s="2">
        <v>117278</v>
      </c>
      <c r="AJ11" s="2"/>
      <c r="AK11" s="2"/>
      <c r="AL11" s="2">
        <v>98348</v>
      </c>
      <c r="AM11" s="2"/>
      <c r="AN11" s="2"/>
      <c r="AO11" s="2">
        <v>93013</v>
      </c>
      <c r="AP11" s="2"/>
      <c r="AQ11" s="2"/>
      <c r="AR11" s="2">
        <v>69212</v>
      </c>
      <c r="AS11" s="2"/>
      <c r="AT11" s="2"/>
      <c r="AU11" s="2">
        <v>672555</v>
      </c>
      <c r="AV11" s="34"/>
      <c r="AW11" s="20" t="s">
        <v>47</v>
      </c>
      <c r="AX11" s="34">
        <f t="shared" si="1"/>
        <v>0</v>
      </c>
      <c r="AY11" s="34">
        <f t="shared" si="2"/>
        <v>0</v>
      </c>
      <c r="AZ11" s="34">
        <f t="shared" si="3"/>
        <v>0</v>
      </c>
      <c r="BA11" s="34">
        <f t="shared" si="4"/>
        <v>0</v>
      </c>
      <c r="BB11" s="34">
        <f t="shared" si="5"/>
        <v>0</v>
      </c>
      <c r="BC11" s="34">
        <f t="shared" si="6"/>
        <v>0</v>
      </c>
      <c r="BD11" s="34">
        <f t="shared" si="7"/>
        <v>0</v>
      </c>
      <c r="BE11" s="34">
        <f t="shared" si="8"/>
        <v>0</v>
      </c>
      <c r="BG11" s="124">
        <v>44533</v>
      </c>
      <c r="BH11" s="2"/>
      <c r="BI11" s="2"/>
      <c r="BJ11" s="2">
        <v>95086</v>
      </c>
    </row>
    <row r="12" spans="2:67" x14ac:dyDescent="0.35">
      <c r="B12" s="19">
        <v>7</v>
      </c>
      <c r="C12" s="2"/>
      <c r="D12" s="2"/>
      <c r="E12" s="2">
        <v>665389</v>
      </c>
      <c r="F12" s="34"/>
      <c r="G12" s="34">
        <f t="shared" si="9"/>
        <v>0</v>
      </c>
      <c r="H12" s="34">
        <f>D13/7</f>
        <v>0</v>
      </c>
      <c r="I12" s="34">
        <f t="shared" si="10"/>
        <v>94923.28571428571</v>
      </c>
      <c r="J12" s="34"/>
      <c r="K12" s="34"/>
      <c r="L12" s="124">
        <v>44535</v>
      </c>
      <c r="M12" s="2"/>
      <c r="N12" s="2"/>
      <c r="O12" s="2">
        <v>94622</v>
      </c>
      <c r="P12" s="34"/>
      <c r="Q12" s="34"/>
      <c r="R12" s="34"/>
      <c r="S12" s="34"/>
      <c r="V12" s="34"/>
      <c r="W12" s="19" t="s">
        <v>54</v>
      </c>
      <c r="X12" s="2"/>
      <c r="Y12" s="2"/>
      <c r="Z12" s="2">
        <v>72759</v>
      </c>
      <c r="AA12" s="2"/>
      <c r="AB12" s="2"/>
      <c r="AC12" s="2">
        <v>94380</v>
      </c>
      <c r="AD12" s="2"/>
      <c r="AE12" s="2"/>
      <c r="AF12" s="2">
        <v>128277</v>
      </c>
      <c r="AG12" s="2"/>
      <c r="AH12" s="2"/>
      <c r="AI12" s="2">
        <v>117119</v>
      </c>
      <c r="AJ12" s="2"/>
      <c r="AK12" s="2"/>
      <c r="AL12" s="2">
        <v>98810</v>
      </c>
      <c r="AM12" s="2"/>
      <c r="AN12" s="2"/>
      <c r="AO12" s="2">
        <v>93215</v>
      </c>
      <c r="AP12" s="2"/>
      <c r="AQ12" s="2"/>
      <c r="AR12" s="2">
        <v>69491</v>
      </c>
      <c r="AS12" s="2"/>
      <c r="AT12" s="2"/>
      <c r="AU12" s="2">
        <v>674051</v>
      </c>
      <c r="AV12" s="34"/>
      <c r="AW12" s="20" t="s">
        <v>48</v>
      </c>
      <c r="AX12" s="34">
        <f t="shared" si="1"/>
        <v>0</v>
      </c>
      <c r="AY12" s="34">
        <f t="shared" si="2"/>
        <v>0</v>
      </c>
      <c r="AZ12" s="34">
        <f t="shared" si="3"/>
        <v>0</v>
      </c>
      <c r="BA12" s="34">
        <f t="shared" si="4"/>
        <v>0</v>
      </c>
      <c r="BB12" s="34">
        <f t="shared" si="5"/>
        <v>0</v>
      </c>
      <c r="BC12" s="34">
        <f t="shared" si="6"/>
        <v>0</v>
      </c>
      <c r="BD12" s="34">
        <f t="shared" si="7"/>
        <v>0</v>
      </c>
      <c r="BE12" s="34">
        <f t="shared" si="8"/>
        <v>0</v>
      </c>
      <c r="BG12" s="124">
        <v>44534</v>
      </c>
      <c r="BH12" s="2"/>
      <c r="BI12" s="2"/>
      <c r="BJ12" s="2">
        <v>94174</v>
      </c>
    </row>
    <row r="13" spans="2:67" x14ac:dyDescent="0.35">
      <c r="B13" s="19">
        <v>8</v>
      </c>
      <c r="C13" s="2"/>
      <c r="D13" s="2"/>
      <c r="E13" s="2">
        <v>664463</v>
      </c>
      <c r="F13" s="34"/>
      <c r="G13" s="34">
        <f t="shared" si="9"/>
        <v>0</v>
      </c>
      <c r="H13" s="34">
        <f t="shared" si="11"/>
        <v>0</v>
      </c>
      <c r="I13" s="34">
        <f t="shared" si="10"/>
        <v>95281.857142857145</v>
      </c>
      <c r="J13" s="34"/>
      <c r="K13" s="34"/>
      <c r="L13" s="124">
        <v>44536</v>
      </c>
      <c r="M13" s="2"/>
      <c r="N13" s="2"/>
      <c r="O13" s="2">
        <v>95118</v>
      </c>
      <c r="P13" s="34"/>
      <c r="Q13" s="34"/>
      <c r="R13" s="34"/>
      <c r="S13" s="34"/>
      <c r="V13" s="34"/>
      <c r="W13" s="19" t="s">
        <v>43</v>
      </c>
      <c r="X13" s="2"/>
      <c r="Y13" s="2"/>
      <c r="Z13" s="2">
        <v>71833</v>
      </c>
      <c r="AA13" s="2"/>
      <c r="AB13" s="2"/>
      <c r="AC13" s="2">
        <v>91703</v>
      </c>
      <c r="AD13" s="2"/>
      <c r="AE13" s="2"/>
      <c r="AF13" s="2">
        <v>126365</v>
      </c>
      <c r="AG13" s="2"/>
      <c r="AH13" s="2"/>
      <c r="AI13" s="2">
        <v>116238</v>
      </c>
      <c r="AJ13" s="2"/>
      <c r="AK13" s="2"/>
      <c r="AL13" s="2">
        <v>98945</v>
      </c>
      <c r="AM13" s="2"/>
      <c r="AN13" s="2"/>
      <c r="AO13" s="2">
        <v>92166</v>
      </c>
      <c r="AP13" s="2"/>
      <c r="AQ13" s="2"/>
      <c r="AR13" s="2">
        <v>68242</v>
      </c>
      <c r="AS13" s="2"/>
      <c r="AT13" s="2"/>
      <c r="AU13" s="2">
        <v>665492</v>
      </c>
      <c r="AV13" s="34"/>
      <c r="AW13" s="20" t="s">
        <v>49</v>
      </c>
      <c r="AX13" s="34">
        <f t="shared" si="1"/>
        <v>0</v>
      </c>
      <c r="AY13" s="34">
        <f t="shared" si="2"/>
        <v>0</v>
      </c>
      <c r="AZ13" s="34">
        <f t="shared" si="3"/>
        <v>0</v>
      </c>
      <c r="BA13" s="34">
        <f t="shared" si="4"/>
        <v>0</v>
      </c>
      <c r="BB13" s="34">
        <f t="shared" si="5"/>
        <v>0</v>
      </c>
      <c r="BC13" s="34">
        <f t="shared" si="6"/>
        <v>0</v>
      </c>
      <c r="BD13" s="34">
        <f t="shared" si="7"/>
        <v>0</v>
      </c>
      <c r="BE13" s="34">
        <f t="shared" si="8"/>
        <v>0</v>
      </c>
      <c r="BG13" s="124">
        <v>44535</v>
      </c>
      <c r="BH13" s="2"/>
      <c r="BI13" s="2"/>
      <c r="BJ13" s="2">
        <v>94622</v>
      </c>
    </row>
    <row r="14" spans="2:67" x14ac:dyDescent="0.35">
      <c r="B14" s="19">
        <v>9</v>
      </c>
      <c r="C14" s="2"/>
      <c r="D14" s="2"/>
      <c r="E14" s="2">
        <v>666973</v>
      </c>
      <c r="F14" s="34"/>
      <c r="G14" s="34">
        <f t="shared" si="9"/>
        <v>0</v>
      </c>
      <c r="H14" s="34">
        <f t="shared" si="11"/>
        <v>0</v>
      </c>
      <c r="I14" s="34">
        <f t="shared" si="10"/>
        <v>95747.428571428565</v>
      </c>
      <c r="J14" s="34"/>
      <c r="K14" s="34"/>
      <c r="L14" s="124">
        <v>44537</v>
      </c>
      <c r="M14" s="2"/>
      <c r="N14" s="2"/>
      <c r="O14" s="2">
        <v>95364</v>
      </c>
      <c r="P14" s="34"/>
      <c r="Q14" s="34"/>
      <c r="R14" s="34"/>
      <c r="S14" s="34"/>
      <c r="V14" s="34"/>
      <c r="W14" s="19" t="s">
        <v>44</v>
      </c>
      <c r="X14" s="2"/>
      <c r="Y14" s="2"/>
      <c r="Z14" s="2">
        <v>71928</v>
      </c>
      <c r="AA14" s="2"/>
      <c r="AB14" s="2"/>
      <c r="AC14" s="2">
        <v>91958</v>
      </c>
      <c r="AD14" s="2"/>
      <c r="AE14" s="2"/>
      <c r="AF14" s="2">
        <v>125930</v>
      </c>
      <c r="AG14" s="2"/>
      <c r="AH14" s="2"/>
      <c r="AI14" s="2">
        <v>116180</v>
      </c>
      <c r="AJ14" s="2"/>
      <c r="AK14" s="2"/>
      <c r="AL14" s="2">
        <v>98895</v>
      </c>
      <c r="AM14" s="2"/>
      <c r="AN14" s="2"/>
      <c r="AO14" s="2">
        <v>92149</v>
      </c>
      <c r="AP14" s="2"/>
      <c r="AQ14" s="2"/>
      <c r="AR14" s="2">
        <v>67667</v>
      </c>
      <c r="AS14" s="2"/>
      <c r="AT14" s="2"/>
      <c r="AU14" s="2">
        <v>664707</v>
      </c>
      <c r="AV14" s="34"/>
      <c r="AW14" s="20" t="s">
        <v>50</v>
      </c>
      <c r="AX14" s="34">
        <f t="shared" si="1"/>
        <v>0</v>
      </c>
      <c r="AY14" s="34">
        <f>(VLOOKUP(AW14,$W$8:$AU$1048576,5,FALSE))/7</f>
        <v>0</v>
      </c>
      <c r="AZ14" s="34">
        <f t="shared" si="3"/>
        <v>0</v>
      </c>
      <c r="BA14" s="34">
        <f t="shared" si="4"/>
        <v>0</v>
      </c>
      <c r="BB14" s="34">
        <f t="shared" si="5"/>
        <v>0</v>
      </c>
      <c r="BC14" s="34">
        <f t="shared" si="6"/>
        <v>0</v>
      </c>
      <c r="BD14" s="34">
        <f t="shared" si="7"/>
        <v>0</v>
      </c>
      <c r="BE14" s="34">
        <f t="shared" si="8"/>
        <v>0</v>
      </c>
      <c r="BG14" s="124">
        <v>44536</v>
      </c>
      <c r="BH14" s="2"/>
      <c r="BI14" s="2"/>
      <c r="BJ14" s="2">
        <v>95118</v>
      </c>
    </row>
    <row r="15" spans="2:67" x14ac:dyDescent="0.35">
      <c r="B15" s="19">
        <v>10</v>
      </c>
      <c r="C15" s="2"/>
      <c r="D15" s="2"/>
      <c r="E15" s="2">
        <v>670232</v>
      </c>
      <c r="F15" s="34"/>
      <c r="G15" s="34">
        <f t="shared" si="9"/>
        <v>0</v>
      </c>
      <c r="H15" s="34">
        <f t="shared" si="11"/>
        <v>0</v>
      </c>
      <c r="I15" s="34">
        <f t="shared" si="10"/>
        <v>95404.571428571435</v>
      </c>
      <c r="J15" s="34"/>
      <c r="K15" s="34"/>
      <c r="L15" s="124">
        <v>44538</v>
      </c>
      <c r="M15" s="2"/>
      <c r="N15" s="2"/>
      <c r="O15" s="2">
        <v>95450</v>
      </c>
      <c r="P15" s="34"/>
      <c r="Q15" s="34"/>
      <c r="R15" s="34"/>
      <c r="S15" s="34"/>
      <c r="V15" s="34"/>
      <c r="W15" s="19" t="s">
        <v>45</v>
      </c>
      <c r="X15" s="2"/>
      <c r="Y15" s="2"/>
      <c r="Z15" s="2">
        <v>71245</v>
      </c>
      <c r="AA15" s="2"/>
      <c r="AB15" s="2"/>
      <c r="AC15" s="2">
        <v>90562</v>
      </c>
      <c r="AD15" s="2"/>
      <c r="AE15" s="2"/>
      <c r="AF15" s="2">
        <v>124292</v>
      </c>
      <c r="AG15" s="2"/>
      <c r="AH15" s="2"/>
      <c r="AI15" s="2">
        <v>113791</v>
      </c>
      <c r="AJ15" s="2"/>
      <c r="AK15" s="2"/>
      <c r="AL15" s="2">
        <v>97807</v>
      </c>
      <c r="AM15" s="2"/>
      <c r="AN15" s="2"/>
      <c r="AO15" s="2">
        <v>90014</v>
      </c>
      <c r="AP15" s="2"/>
      <c r="AQ15" s="2"/>
      <c r="AR15" s="2">
        <v>66231</v>
      </c>
      <c r="AS15" s="2"/>
      <c r="AT15" s="2"/>
      <c r="AU15" s="2">
        <v>653942</v>
      </c>
      <c r="AV15" s="34"/>
      <c r="AW15" s="20" t="s">
        <v>51</v>
      </c>
      <c r="AX15" s="34">
        <f t="shared" si="1"/>
        <v>0</v>
      </c>
      <c r="AY15" s="34">
        <f t="shared" si="2"/>
        <v>0</v>
      </c>
      <c r="AZ15" s="34">
        <f t="shared" si="3"/>
        <v>0</v>
      </c>
      <c r="BA15" s="34">
        <f t="shared" si="4"/>
        <v>0</v>
      </c>
      <c r="BB15" s="34">
        <f t="shared" si="5"/>
        <v>0</v>
      </c>
      <c r="BC15" s="34">
        <f t="shared" si="6"/>
        <v>0</v>
      </c>
      <c r="BD15" s="34">
        <f t="shared" si="7"/>
        <v>0</v>
      </c>
      <c r="BE15" s="34">
        <f t="shared" si="8"/>
        <v>0</v>
      </c>
      <c r="BG15" s="124">
        <v>44537</v>
      </c>
      <c r="BH15" s="2"/>
      <c r="BI15" s="2"/>
      <c r="BJ15" s="2">
        <v>95364</v>
      </c>
    </row>
    <row r="16" spans="2:67" x14ac:dyDescent="0.35">
      <c r="B16" s="19">
        <v>11</v>
      </c>
      <c r="C16" s="2"/>
      <c r="D16" s="2"/>
      <c r="E16" s="2">
        <v>667832</v>
      </c>
      <c r="F16" s="34"/>
      <c r="G16" s="34">
        <f t="shared" si="9"/>
        <v>0</v>
      </c>
      <c r="H16" s="34">
        <f t="shared" si="11"/>
        <v>0</v>
      </c>
      <c r="I16" s="34">
        <f t="shared" si="10"/>
        <v>96079.28571428571</v>
      </c>
      <c r="J16" s="34"/>
      <c r="K16" s="34"/>
      <c r="L16" s="124">
        <v>44539</v>
      </c>
      <c r="M16" s="2"/>
      <c r="N16" s="2"/>
      <c r="O16" s="2">
        <v>95369</v>
      </c>
      <c r="P16" s="34"/>
      <c r="Q16" s="34"/>
      <c r="R16" s="34"/>
      <c r="S16" s="34"/>
      <c r="V16" s="34"/>
      <c r="W16" s="19" t="s">
        <v>46</v>
      </c>
      <c r="X16" s="2"/>
      <c r="Y16" s="2"/>
      <c r="Z16" s="2">
        <v>70677</v>
      </c>
      <c r="AA16" s="2"/>
      <c r="AB16" s="2"/>
      <c r="AC16" s="2">
        <v>89484</v>
      </c>
      <c r="AD16" s="2"/>
      <c r="AE16" s="2"/>
      <c r="AF16" s="2">
        <v>124270</v>
      </c>
      <c r="AG16" s="2"/>
      <c r="AH16" s="2"/>
      <c r="AI16" s="2">
        <v>113387</v>
      </c>
      <c r="AJ16" s="2"/>
      <c r="AK16" s="2"/>
      <c r="AL16" s="2">
        <v>96967</v>
      </c>
      <c r="AM16" s="2"/>
      <c r="AN16" s="2"/>
      <c r="AO16" s="2">
        <v>90035</v>
      </c>
      <c r="AP16" s="2"/>
      <c r="AQ16" s="2"/>
      <c r="AR16" s="2">
        <v>66242</v>
      </c>
      <c r="AS16" s="2"/>
      <c r="AT16" s="2"/>
      <c r="AU16" s="2">
        <v>651062</v>
      </c>
      <c r="AV16" s="34"/>
      <c r="AW16" s="20" t="s">
        <v>52</v>
      </c>
      <c r="AX16" s="34">
        <f t="shared" si="1"/>
        <v>0</v>
      </c>
      <c r="AY16" s="34">
        <f t="shared" si="2"/>
        <v>0</v>
      </c>
      <c r="AZ16" s="34">
        <f t="shared" si="3"/>
        <v>0</v>
      </c>
      <c r="BA16" s="34">
        <f t="shared" si="4"/>
        <v>0</v>
      </c>
      <c r="BB16" s="34">
        <f t="shared" si="5"/>
        <v>0</v>
      </c>
      <c r="BC16" s="34">
        <f t="shared" si="6"/>
        <v>0</v>
      </c>
      <c r="BD16" s="34">
        <f t="shared" si="7"/>
        <v>0</v>
      </c>
      <c r="BE16" s="34">
        <f t="shared" si="8"/>
        <v>0</v>
      </c>
      <c r="BG16" s="124">
        <v>44538</v>
      </c>
      <c r="BH16" s="2"/>
      <c r="BI16" s="2"/>
      <c r="BJ16" s="2">
        <v>95450</v>
      </c>
    </row>
    <row r="17" spans="2:62" x14ac:dyDescent="0.35">
      <c r="B17" s="19">
        <v>12</v>
      </c>
      <c r="C17" s="2"/>
      <c r="D17" s="2"/>
      <c r="E17" s="2">
        <v>672555</v>
      </c>
      <c r="F17" s="34"/>
      <c r="G17" s="34">
        <f t="shared" si="9"/>
        <v>0</v>
      </c>
      <c r="H17" s="34">
        <f t="shared" si="11"/>
        <v>0</v>
      </c>
      <c r="I17" s="34">
        <f t="shared" si="10"/>
        <v>96293</v>
      </c>
      <c r="J17" s="34"/>
      <c r="K17" s="34"/>
      <c r="L17" s="124">
        <v>44540</v>
      </c>
      <c r="M17" s="2"/>
      <c r="N17" s="2"/>
      <c r="O17" s="2">
        <v>95174</v>
      </c>
      <c r="P17" s="34"/>
      <c r="Q17" s="34"/>
      <c r="R17" s="34"/>
      <c r="S17" s="34"/>
      <c r="V17" s="34"/>
      <c r="W17" s="19" t="s">
        <v>47</v>
      </c>
      <c r="X17" s="2"/>
      <c r="Y17" s="2"/>
      <c r="Z17" s="2">
        <v>71537</v>
      </c>
      <c r="AA17" s="2"/>
      <c r="AB17" s="2"/>
      <c r="AC17" s="2">
        <v>91115</v>
      </c>
      <c r="AD17" s="2"/>
      <c r="AE17" s="2"/>
      <c r="AF17" s="2">
        <v>126939</v>
      </c>
      <c r="AG17" s="2"/>
      <c r="AH17" s="2"/>
      <c r="AI17" s="2">
        <v>115214</v>
      </c>
      <c r="AJ17" s="2"/>
      <c r="AK17" s="2"/>
      <c r="AL17" s="2">
        <v>98052</v>
      </c>
      <c r="AM17" s="2"/>
      <c r="AN17" s="2"/>
      <c r="AO17" s="2">
        <v>91999</v>
      </c>
      <c r="AP17" s="2"/>
      <c r="AQ17" s="2"/>
      <c r="AR17" s="2">
        <v>67461</v>
      </c>
      <c r="AS17" s="2"/>
      <c r="AT17" s="2"/>
      <c r="AU17" s="2">
        <v>662317</v>
      </c>
      <c r="AV17" s="34"/>
      <c r="AW17" s="20" t="s">
        <v>53</v>
      </c>
      <c r="AX17" s="34">
        <f t="shared" si="1"/>
        <v>0</v>
      </c>
      <c r="AY17" s="34">
        <f t="shared" si="2"/>
        <v>0</v>
      </c>
      <c r="AZ17" s="34">
        <f t="shared" si="3"/>
        <v>0</v>
      </c>
      <c r="BA17" s="34">
        <f t="shared" si="4"/>
        <v>0</v>
      </c>
      <c r="BB17" s="34">
        <f t="shared" si="5"/>
        <v>0</v>
      </c>
      <c r="BC17" s="34">
        <f t="shared" si="6"/>
        <v>0</v>
      </c>
      <c r="BD17" s="34">
        <f t="shared" si="7"/>
        <v>0</v>
      </c>
      <c r="BE17" s="34">
        <f t="shared" si="8"/>
        <v>0</v>
      </c>
      <c r="BG17" s="124">
        <v>44539</v>
      </c>
      <c r="BH17" s="2"/>
      <c r="BI17" s="2"/>
      <c r="BJ17" s="2">
        <v>95369</v>
      </c>
    </row>
    <row r="18" spans="2:62" x14ac:dyDescent="0.35">
      <c r="B18" s="19">
        <v>13</v>
      </c>
      <c r="C18" s="2"/>
      <c r="D18" s="2"/>
      <c r="E18" s="2">
        <v>674051</v>
      </c>
      <c r="F18" s="34"/>
      <c r="G18" s="34">
        <f t="shared" si="9"/>
        <v>0</v>
      </c>
      <c r="H18" s="34">
        <f t="shared" si="11"/>
        <v>0</v>
      </c>
      <c r="I18" s="34">
        <f t="shared" si="10"/>
        <v>1234526.4285714286</v>
      </c>
      <c r="J18" s="34"/>
      <c r="K18" s="34"/>
      <c r="L18" s="124">
        <v>44541</v>
      </c>
      <c r="M18" s="2"/>
      <c r="N18" s="2"/>
      <c r="O18" s="2">
        <v>94574</v>
      </c>
      <c r="P18" s="34"/>
      <c r="Q18" s="34"/>
      <c r="R18" s="34"/>
      <c r="S18" s="34"/>
      <c r="V18" s="34"/>
      <c r="W18" s="19" t="s">
        <v>48</v>
      </c>
      <c r="X18" s="2"/>
      <c r="Y18" s="2"/>
      <c r="Z18" s="2">
        <v>71589</v>
      </c>
      <c r="AA18" s="2"/>
      <c r="AB18" s="2"/>
      <c r="AC18" s="2">
        <v>92327</v>
      </c>
      <c r="AD18" s="2"/>
      <c r="AE18" s="2"/>
      <c r="AF18" s="2">
        <v>128097</v>
      </c>
      <c r="AG18" s="2"/>
      <c r="AH18" s="2"/>
      <c r="AI18" s="2">
        <v>115858</v>
      </c>
      <c r="AJ18" s="2"/>
      <c r="AK18" s="2"/>
      <c r="AL18" s="2">
        <v>97917</v>
      </c>
      <c r="AM18" s="2"/>
      <c r="AN18" s="2"/>
      <c r="AO18" s="2">
        <v>92136</v>
      </c>
      <c r="AP18" s="2"/>
      <c r="AQ18" s="2"/>
      <c r="AR18" s="2">
        <v>67465</v>
      </c>
      <c r="AS18" s="2"/>
      <c r="AT18" s="2"/>
      <c r="AU18" s="2">
        <v>665389</v>
      </c>
      <c r="AV18" s="34"/>
      <c r="AW18" s="20" t="s">
        <v>54</v>
      </c>
      <c r="AX18" s="34">
        <f t="shared" si="1"/>
        <v>0</v>
      </c>
      <c r="AY18" s="34">
        <f t="shared" si="2"/>
        <v>0</v>
      </c>
      <c r="AZ18" s="34">
        <f t="shared" si="3"/>
        <v>0</v>
      </c>
      <c r="BA18" s="34">
        <f t="shared" si="4"/>
        <v>0</v>
      </c>
      <c r="BB18" s="34">
        <f t="shared" si="5"/>
        <v>0</v>
      </c>
      <c r="BC18" s="34">
        <f t="shared" si="6"/>
        <v>0</v>
      </c>
      <c r="BD18" s="34">
        <f>(VLOOKUP(AW18,$W$8:$AU$1048576,2,FALSE))/7</f>
        <v>0</v>
      </c>
      <c r="BE18" s="34">
        <f t="shared" si="8"/>
        <v>0</v>
      </c>
      <c r="BG18" s="124">
        <v>44540</v>
      </c>
      <c r="BH18" s="2"/>
      <c r="BI18" s="2"/>
      <c r="BJ18" s="2">
        <v>95174</v>
      </c>
    </row>
    <row r="19" spans="2:62" x14ac:dyDescent="0.35">
      <c r="B19" s="19" t="s">
        <v>38</v>
      </c>
      <c r="C19" s="2"/>
      <c r="D19" s="2"/>
      <c r="E19" s="2">
        <v>8641685</v>
      </c>
      <c r="F19" s="34"/>
      <c r="G19" s="34">
        <f>C20/7</f>
        <v>0</v>
      </c>
      <c r="H19" s="34">
        <f>D20/7</f>
        <v>0</v>
      </c>
      <c r="I19" s="34">
        <f>E20/7</f>
        <v>0</v>
      </c>
      <c r="J19" s="34"/>
      <c r="K19" s="34"/>
      <c r="L19" s="124">
        <v>44542</v>
      </c>
      <c r="M19" s="2"/>
      <c r="N19" s="2"/>
      <c r="O19" s="2">
        <v>94443</v>
      </c>
      <c r="P19" s="34"/>
      <c r="Q19" s="34"/>
      <c r="R19" s="34"/>
      <c r="S19" s="34"/>
      <c r="V19" s="34"/>
      <c r="W19" s="19" t="s">
        <v>49</v>
      </c>
      <c r="X19" s="2"/>
      <c r="Y19" s="2"/>
      <c r="Z19" s="2">
        <v>71042</v>
      </c>
      <c r="AA19" s="2"/>
      <c r="AB19" s="2"/>
      <c r="AC19" s="2">
        <v>92797</v>
      </c>
      <c r="AD19" s="2"/>
      <c r="AE19" s="2"/>
      <c r="AF19" s="2">
        <v>127829</v>
      </c>
      <c r="AG19" s="2"/>
      <c r="AH19" s="2"/>
      <c r="AI19" s="2">
        <v>115588</v>
      </c>
      <c r="AJ19" s="2"/>
      <c r="AK19" s="2"/>
      <c r="AL19" s="2">
        <v>98017</v>
      </c>
      <c r="AM19" s="2"/>
      <c r="AN19" s="2"/>
      <c r="AO19" s="2">
        <v>91442</v>
      </c>
      <c r="AP19" s="2"/>
      <c r="AQ19" s="2"/>
      <c r="AR19" s="2">
        <v>67748</v>
      </c>
      <c r="AS19" s="2"/>
      <c r="AT19" s="2"/>
      <c r="AU19" s="2">
        <v>664463</v>
      </c>
      <c r="AV19" s="34"/>
      <c r="AW19" s="20"/>
      <c r="AX19" s="34"/>
      <c r="AY19" s="34"/>
      <c r="AZ19" s="34"/>
      <c r="BA19" s="34"/>
      <c r="BB19" s="34"/>
      <c r="BC19" s="34"/>
      <c r="BD19" s="34"/>
      <c r="BE19" s="34"/>
      <c r="BG19" s="124">
        <v>44541</v>
      </c>
      <c r="BH19" s="2"/>
      <c r="BI19" s="2"/>
      <c r="BJ19" s="2">
        <v>94574</v>
      </c>
    </row>
    <row r="20" spans="2:62" x14ac:dyDescent="0.35">
      <c r="F20" s="34"/>
      <c r="G20" s="34"/>
      <c r="H20" s="34"/>
      <c r="I20" s="34"/>
      <c r="J20" s="34"/>
      <c r="K20" s="34"/>
      <c r="L20" s="124">
        <v>44543</v>
      </c>
      <c r="M20" s="2"/>
      <c r="N20" s="2"/>
      <c r="O20" s="2">
        <v>95234</v>
      </c>
      <c r="P20" s="34"/>
      <c r="Q20" s="34"/>
      <c r="R20" s="34"/>
      <c r="S20" s="34"/>
      <c r="W20" s="19" t="s">
        <v>50</v>
      </c>
      <c r="X20" s="2"/>
      <c r="Y20" s="2"/>
      <c r="Z20" s="2">
        <v>71551</v>
      </c>
      <c r="AA20" s="2"/>
      <c r="AB20" s="2"/>
      <c r="AC20" s="2">
        <v>93386</v>
      </c>
      <c r="AD20" s="2"/>
      <c r="AE20" s="2"/>
      <c r="AF20" s="2">
        <v>127658</v>
      </c>
      <c r="AG20" s="2"/>
      <c r="AH20" s="2"/>
      <c r="AI20" s="2">
        <v>115607</v>
      </c>
      <c r="AJ20" s="2"/>
      <c r="AK20" s="2"/>
      <c r="AL20" s="2">
        <v>98228</v>
      </c>
      <c r="AM20" s="2"/>
      <c r="AN20" s="2"/>
      <c r="AO20" s="2">
        <v>92395</v>
      </c>
      <c r="AP20" s="2"/>
      <c r="AQ20" s="2"/>
      <c r="AR20" s="2">
        <v>68148</v>
      </c>
      <c r="AS20" s="2"/>
      <c r="AT20" s="2"/>
      <c r="AU20" s="2">
        <v>666973</v>
      </c>
      <c r="BG20" s="124">
        <v>44542</v>
      </c>
      <c r="BH20" s="2"/>
      <c r="BI20" s="2"/>
      <c r="BJ20" s="2">
        <v>94443</v>
      </c>
    </row>
    <row r="21" spans="2:62" x14ac:dyDescent="0.35">
      <c r="L21" s="124">
        <v>44544</v>
      </c>
      <c r="M21" s="2"/>
      <c r="N21" s="2"/>
      <c r="O21" s="2">
        <v>95420</v>
      </c>
      <c r="V21" s="41"/>
      <c r="W21" s="19" t="s">
        <v>38</v>
      </c>
      <c r="X21" s="2"/>
      <c r="Y21" s="2"/>
      <c r="Z21" s="2">
        <v>932474</v>
      </c>
      <c r="AA21" s="2"/>
      <c r="AB21" s="2"/>
      <c r="AC21" s="2">
        <v>1201265</v>
      </c>
      <c r="AD21" s="2"/>
      <c r="AE21" s="2"/>
      <c r="AF21" s="2">
        <v>1650775</v>
      </c>
      <c r="AG21" s="2"/>
      <c r="AH21" s="2"/>
      <c r="AI21" s="2">
        <v>1499692</v>
      </c>
      <c r="AJ21" s="2"/>
      <c r="AK21" s="2"/>
      <c r="AL21" s="2">
        <v>1277690</v>
      </c>
      <c r="AM21" s="2"/>
      <c r="AN21" s="2"/>
      <c r="AO21" s="2">
        <v>1196121</v>
      </c>
      <c r="AP21" s="2"/>
      <c r="AQ21" s="2"/>
      <c r="AR21" s="2">
        <v>883668</v>
      </c>
      <c r="AS21" s="2"/>
      <c r="AT21" s="2"/>
      <c r="AU21" s="2">
        <v>8641685</v>
      </c>
      <c r="AV21" s="109"/>
      <c r="AW21" s="41"/>
      <c r="AX21" s="41"/>
      <c r="AY21" s="41"/>
      <c r="AZ21" s="41"/>
      <c r="BA21" s="41"/>
      <c r="BB21" s="41"/>
      <c r="BC21" s="41"/>
      <c r="BD21" s="41"/>
      <c r="BE21" s="41"/>
      <c r="BG21" s="124">
        <v>44543</v>
      </c>
      <c r="BH21" s="2"/>
      <c r="BI21" s="2"/>
      <c r="BJ21" s="2">
        <v>95234</v>
      </c>
    </row>
    <row r="22" spans="2:62" x14ac:dyDescent="0.35">
      <c r="L22" s="124">
        <v>44545</v>
      </c>
      <c r="M22" s="2"/>
      <c r="N22" s="2"/>
      <c r="O22" s="2">
        <v>95428</v>
      </c>
      <c r="V22" s="34"/>
      <c r="AM22" s="34"/>
      <c r="AN22" s="34"/>
      <c r="AO22" s="34"/>
      <c r="AP22" s="34"/>
      <c r="AQ22" s="34"/>
      <c r="AR22" s="34"/>
      <c r="AS22" s="34"/>
      <c r="AT22" s="34"/>
      <c r="AU22" s="34"/>
      <c r="AV22" s="34"/>
      <c r="AW22" s="35" t="s">
        <v>206</v>
      </c>
      <c r="AX22" t="s">
        <v>40</v>
      </c>
      <c r="AY22" s="109" t="s">
        <v>1</v>
      </c>
      <c r="AZ22" s="109" t="s">
        <v>220</v>
      </c>
      <c r="BA22" s="109" t="s">
        <v>249</v>
      </c>
      <c r="BB22" s="109" t="s">
        <v>217</v>
      </c>
      <c r="BC22" s="109" t="s">
        <v>218</v>
      </c>
      <c r="BD22" s="44" t="s">
        <v>252</v>
      </c>
      <c r="BE22" s="109" t="s">
        <v>251</v>
      </c>
      <c r="BG22" s="124">
        <v>44544</v>
      </c>
      <c r="BH22" s="2"/>
      <c r="BI22" s="2"/>
      <c r="BJ22" s="2">
        <v>95420</v>
      </c>
    </row>
    <row r="23" spans="2:62" x14ac:dyDescent="0.35">
      <c r="L23" s="124">
        <v>44546</v>
      </c>
      <c r="M23" s="2"/>
      <c r="N23" s="2"/>
      <c r="O23" s="2">
        <v>95148</v>
      </c>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21" t="s">
        <v>42</v>
      </c>
      <c r="AX23" s="34">
        <f>(VLOOKUP(AW23,$W$8:$AU$1048576,24,FALSE))/7</f>
        <v>0</v>
      </c>
      <c r="AY23" s="34">
        <f>(VLOOKUP(AW23,$W$8:$AU$1048576,6,FALSE))/7</f>
        <v>0</v>
      </c>
      <c r="AZ23" s="34">
        <f>(VLOOKUP(AW23,$W$8:$AU$1048576,9,FALSE))/7</f>
        <v>0</v>
      </c>
      <c r="BA23" s="34">
        <f>(VLOOKUP(AW23,$W$8:$AU$1048576,12,FALSE))/7</f>
        <v>0</v>
      </c>
      <c r="BB23" s="34">
        <f>(VLOOKUP(AW23,$W$8:$AU$1048576,18,FALSE))/7</f>
        <v>0</v>
      </c>
      <c r="BC23" s="34">
        <f>(VLOOKUP(AW23,$W$8:$AU$1048576,21,FALSE))/7</f>
        <v>0</v>
      </c>
      <c r="BD23" s="34">
        <f>(VLOOKUP(AW23,$W$8:$AU$1048576,3,FALSE))/7</f>
        <v>0</v>
      </c>
      <c r="BE23" s="34">
        <f>(VLOOKUP(AW23,$W$8:$AU$1048576,15,FALSE))/7</f>
        <v>0</v>
      </c>
      <c r="BG23" s="124">
        <v>44545</v>
      </c>
      <c r="BH23" s="2"/>
      <c r="BI23" s="2"/>
      <c r="BJ23" s="2">
        <v>95428</v>
      </c>
    </row>
    <row r="24" spans="2:62" x14ac:dyDescent="0.35">
      <c r="L24" s="124">
        <v>44547</v>
      </c>
      <c r="M24" s="2"/>
      <c r="N24" s="2"/>
      <c r="O24" s="2">
        <v>95056</v>
      </c>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20" t="s">
        <v>43</v>
      </c>
      <c r="AX24" s="34">
        <f t="shared" ref="AX24:AX35" si="12">(VLOOKUP(AW24,$W$8:$AU$1048576,24,FALSE))/7</f>
        <v>0</v>
      </c>
      <c r="AY24" s="34">
        <f t="shared" ref="AY24:AY35" si="13">(VLOOKUP(AW24,$W$8:$AU$1048576,6,FALSE))/7</f>
        <v>0</v>
      </c>
      <c r="AZ24" s="34">
        <f t="shared" ref="AZ24:AZ35" si="14">(VLOOKUP(AW24,$W$8:$AU$1048576,9,FALSE))/7</f>
        <v>0</v>
      </c>
      <c r="BA24" s="34">
        <f t="shared" ref="BA24:BA35" si="15">(VLOOKUP(AW24,$W$8:$AU$1048576,12,FALSE))/7</f>
        <v>0</v>
      </c>
      <c r="BB24" s="34">
        <f t="shared" ref="BB24:BB35" si="16">(VLOOKUP(AW24,$W$8:$AU$1048576,18,FALSE))/7</f>
        <v>0</v>
      </c>
      <c r="BC24" s="34">
        <f t="shared" ref="BC24:BC35" si="17">(VLOOKUP(AW24,$W$8:$AU$1048576,21,FALSE))/7</f>
        <v>0</v>
      </c>
      <c r="BD24" s="34">
        <f t="shared" ref="BD24:BD35" si="18">(VLOOKUP(AW24,$W$8:$AU$1048576,3,FALSE))/7</f>
        <v>0</v>
      </c>
      <c r="BE24" s="34">
        <f t="shared" ref="BE24:BE35" si="19">(VLOOKUP(AW24,$W$8:$AU$1048576,15,FALSE))/7</f>
        <v>0</v>
      </c>
      <c r="BG24" s="124">
        <v>44546</v>
      </c>
      <c r="BH24" s="2"/>
      <c r="BI24" s="2"/>
      <c r="BJ24" s="2">
        <v>95148</v>
      </c>
    </row>
    <row r="25" spans="2:62" x14ac:dyDescent="0.35">
      <c r="L25" s="124">
        <v>44548</v>
      </c>
      <c r="M25" s="2"/>
      <c r="N25" s="2"/>
      <c r="O25" s="2">
        <v>94136</v>
      </c>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20" t="s">
        <v>44</v>
      </c>
      <c r="AX25" s="34">
        <f t="shared" si="12"/>
        <v>0</v>
      </c>
      <c r="AY25" s="34">
        <f t="shared" si="13"/>
        <v>0</v>
      </c>
      <c r="AZ25" s="34">
        <f t="shared" si="14"/>
        <v>0</v>
      </c>
      <c r="BA25" s="34">
        <f t="shared" si="15"/>
        <v>0</v>
      </c>
      <c r="BB25" s="34">
        <f t="shared" si="16"/>
        <v>0</v>
      </c>
      <c r="BC25" s="34">
        <f t="shared" si="17"/>
        <v>0</v>
      </c>
      <c r="BD25" s="34">
        <f t="shared" si="18"/>
        <v>0</v>
      </c>
      <c r="BE25" s="34">
        <f t="shared" si="19"/>
        <v>0</v>
      </c>
      <c r="BG25" s="124">
        <v>44547</v>
      </c>
      <c r="BH25" s="2"/>
      <c r="BI25" s="2"/>
      <c r="BJ25" s="2">
        <v>95056</v>
      </c>
    </row>
    <row r="26" spans="2:62" x14ac:dyDescent="0.35">
      <c r="L26" s="124">
        <v>44549</v>
      </c>
      <c r="M26" s="2"/>
      <c r="N26" s="2"/>
      <c r="O26" s="2">
        <v>94285</v>
      </c>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20" t="s">
        <v>45</v>
      </c>
      <c r="AX26" s="34">
        <f t="shared" si="12"/>
        <v>0</v>
      </c>
      <c r="AY26" s="34">
        <f t="shared" si="13"/>
        <v>0</v>
      </c>
      <c r="AZ26" s="34">
        <f t="shared" si="14"/>
        <v>0</v>
      </c>
      <c r="BA26" s="34">
        <f t="shared" si="15"/>
        <v>0</v>
      </c>
      <c r="BB26" s="34">
        <f t="shared" si="16"/>
        <v>0</v>
      </c>
      <c r="BC26" s="34">
        <f t="shared" si="17"/>
        <v>0</v>
      </c>
      <c r="BD26" s="34">
        <f t="shared" si="18"/>
        <v>0</v>
      </c>
      <c r="BE26" s="34">
        <f t="shared" si="19"/>
        <v>0</v>
      </c>
      <c r="BG26" s="124">
        <v>44548</v>
      </c>
      <c r="BH26" s="2"/>
      <c r="BI26" s="2"/>
      <c r="BJ26" s="2">
        <v>94136</v>
      </c>
    </row>
    <row r="27" spans="2:62" x14ac:dyDescent="0.35">
      <c r="L27" s="124">
        <v>44550</v>
      </c>
      <c r="M27" s="2"/>
      <c r="N27" s="2"/>
      <c r="O27" s="2">
        <v>94583</v>
      </c>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20" t="s">
        <v>46</v>
      </c>
      <c r="AX27" s="34">
        <f t="shared" si="12"/>
        <v>0</v>
      </c>
      <c r="AY27" s="34">
        <f t="shared" si="13"/>
        <v>0</v>
      </c>
      <c r="AZ27" s="34">
        <f t="shared" si="14"/>
        <v>0</v>
      </c>
      <c r="BA27" s="34">
        <f t="shared" si="15"/>
        <v>0</v>
      </c>
      <c r="BB27" s="34">
        <f t="shared" si="16"/>
        <v>0</v>
      </c>
      <c r="BC27" s="34">
        <f t="shared" si="17"/>
        <v>0</v>
      </c>
      <c r="BD27" s="34">
        <f t="shared" si="18"/>
        <v>0</v>
      </c>
      <c r="BE27" s="34">
        <f t="shared" si="19"/>
        <v>0</v>
      </c>
      <c r="BG27" s="124">
        <v>44549</v>
      </c>
      <c r="BH27" s="2"/>
      <c r="BI27" s="2"/>
      <c r="BJ27" s="2">
        <v>94285</v>
      </c>
    </row>
    <row r="28" spans="2:62" x14ac:dyDescent="0.35">
      <c r="L28" s="124">
        <v>44551</v>
      </c>
      <c r="M28" s="2"/>
      <c r="N28" s="2"/>
      <c r="O28" s="2">
        <v>94483</v>
      </c>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20" t="s">
        <v>47</v>
      </c>
      <c r="AX28" s="34">
        <f t="shared" si="12"/>
        <v>0</v>
      </c>
      <c r="AY28" s="34">
        <f t="shared" si="13"/>
        <v>0</v>
      </c>
      <c r="AZ28" s="34">
        <f t="shared" si="14"/>
        <v>0</v>
      </c>
      <c r="BA28" s="34">
        <f t="shared" si="15"/>
        <v>0</v>
      </c>
      <c r="BB28" s="34">
        <f t="shared" si="16"/>
        <v>0</v>
      </c>
      <c r="BC28" s="34">
        <f t="shared" si="17"/>
        <v>0</v>
      </c>
      <c r="BD28" s="34">
        <f t="shared" si="18"/>
        <v>0</v>
      </c>
      <c r="BE28" s="34">
        <f t="shared" si="19"/>
        <v>0</v>
      </c>
      <c r="BG28" s="124">
        <v>44550</v>
      </c>
      <c r="BH28" s="2"/>
      <c r="BI28" s="2"/>
      <c r="BJ28" s="2">
        <v>94583</v>
      </c>
    </row>
    <row r="29" spans="2:62" x14ac:dyDescent="0.35">
      <c r="L29" s="124">
        <v>44552</v>
      </c>
      <c r="M29" s="2"/>
      <c r="N29" s="2"/>
      <c r="O29" s="2">
        <v>94351</v>
      </c>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20" t="s">
        <v>48</v>
      </c>
      <c r="AX29" s="34">
        <f t="shared" si="12"/>
        <v>0</v>
      </c>
      <c r="AY29" s="34">
        <f t="shared" si="13"/>
        <v>0</v>
      </c>
      <c r="AZ29" s="34">
        <f t="shared" si="14"/>
        <v>0</v>
      </c>
      <c r="BA29" s="34">
        <f t="shared" si="15"/>
        <v>0</v>
      </c>
      <c r="BB29" s="34">
        <f t="shared" si="16"/>
        <v>0</v>
      </c>
      <c r="BC29" s="34">
        <f t="shared" si="17"/>
        <v>0</v>
      </c>
      <c r="BD29" s="34">
        <f t="shared" si="18"/>
        <v>0</v>
      </c>
      <c r="BE29" s="34">
        <f t="shared" si="19"/>
        <v>0</v>
      </c>
      <c r="BG29" s="124">
        <v>44551</v>
      </c>
      <c r="BH29" s="2"/>
      <c r="BI29" s="2"/>
      <c r="BJ29" s="2">
        <v>94483</v>
      </c>
    </row>
    <row r="30" spans="2:62" x14ac:dyDescent="0.35">
      <c r="L30" s="124">
        <v>44553</v>
      </c>
      <c r="M30" s="2"/>
      <c r="N30" s="2"/>
      <c r="O30" s="2">
        <v>93812</v>
      </c>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20" t="s">
        <v>49</v>
      </c>
      <c r="AX30" s="34">
        <f t="shared" si="12"/>
        <v>0</v>
      </c>
      <c r="AY30" s="34">
        <f t="shared" si="13"/>
        <v>0</v>
      </c>
      <c r="AZ30" s="34">
        <f t="shared" si="14"/>
        <v>0</v>
      </c>
      <c r="BA30" s="34">
        <f t="shared" si="15"/>
        <v>0</v>
      </c>
      <c r="BB30" s="34">
        <f t="shared" si="16"/>
        <v>0</v>
      </c>
      <c r="BC30" s="34">
        <f t="shared" si="17"/>
        <v>0</v>
      </c>
      <c r="BD30" s="34">
        <f t="shared" si="18"/>
        <v>0</v>
      </c>
      <c r="BE30" s="34">
        <f t="shared" si="19"/>
        <v>0</v>
      </c>
      <c r="BG30" s="124">
        <v>44552</v>
      </c>
      <c r="BH30" s="2"/>
      <c r="BI30" s="2"/>
      <c r="BJ30" s="2">
        <v>94351</v>
      </c>
    </row>
    <row r="31" spans="2:62" x14ac:dyDescent="0.35">
      <c r="L31" s="124">
        <v>44554</v>
      </c>
      <c r="M31" s="2"/>
      <c r="N31" s="2"/>
      <c r="O31" s="2">
        <v>93168</v>
      </c>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20" t="s">
        <v>50</v>
      </c>
      <c r="AX31" s="34">
        <f t="shared" si="12"/>
        <v>0</v>
      </c>
      <c r="AY31" s="34">
        <f t="shared" si="13"/>
        <v>0</v>
      </c>
      <c r="AZ31" s="34">
        <f t="shared" si="14"/>
        <v>0</v>
      </c>
      <c r="BA31" s="34">
        <f t="shared" si="15"/>
        <v>0</v>
      </c>
      <c r="BB31" s="34">
        <f t="shared" si="16"/>
        <v>0</v>
      </c>
      <c r="BC31" s="34">
        <f t="shared" si="17"/>
        <v>0</v>
      </c>
      <c r="BD31" s="34">
        <f t="shared" si="18"/>
        <v>0</v>
      </c>
      <c r="BE31" s="34">
        <f t="shared" si="19"/>
        <v>0</v>
      </c>
      <c r="BG31" s="124">
        <v>44553</v>
      </c>
      <c r="BH31" s="2"/>
      <c r="BI31" s="2"/>
      <c r="BJ31" s="2">
        <v>93812</v>
      </c>
    </row>
    <row r="32" spans="2:62" x14ac:dyDescent="0.35">
      <c r="L32" s="124">
        <v>44555</v>
      </c>
      <c r="M32" s="2"/>
      <c r="N32" s="2"/>
      <c r="O32" s="2">
        <v>91682</v>
      </c>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20" t="s">
        <v>51</v>
      </c>
      <c r="AX32" s="34">
        <f t="shared" si="12"/>
        <v>0</v>
      </c>
      <c r="AY32" s="34">
        <f>(VLOOKUP(AW32,$W$8:$AU$1048576,6,FALSE))/7</f>
        <v>0</v>
      </c>
      <c r="AZ32" s="34">
        <f t="shared" si="14"/>
        <v>0</v>
      </c>
      <c r="BA32" s="34">
        <f t="shared" si="15"/>
        <v>0</v>
      </c>
      <c r="BB32" s="34">
        <f t="shared" si="16"/>
        <v>0</v>
      </c>
      <c r="BC32" s="34">
        <f t="shared" si="17"/>
        <v>0</v>
      </c>
      <c r="BD32" s="34">
        <f t="shared" si="18"/>
        <v>0</v>
      </c>
      <c r="BE32" s="34">
        <f t="shared" si="19"/>
        <v>0</v>
      </c>
      <c r="BG32" s="124">
        <v>44554</v>
      </c>
      <c r="BH32" s="2"/>
      <c r="BI32" s="2"/>
      <c r="BJ32" s="2">
        <v>93168</v>
      </c>
    </row>
    <row r="33" spans="12:62" x14ac:dyDescent="0.35">
      <c r="L33" s="124">
        <v>44556</v>
      </c>
      <c r="M33" s="2"/>
      <c r="N33" s="2"/>
      <c r="O33" s="2">
        <v>91863</v>
      </c>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20" t="s">
        <v>52</v>
      </c>
      <c r="AX33" s="34">
        <f t="shared" si="12"/>
        <v>0</v>
      </c>
      <c r="AY33" s="34">
        <f t="shared" si="13"/>
        <v>0</v>
      </c>
      <c r="AZ33" s="34">
        <f t="shared" si="14"/>
        <v>0</v>
      </c>
      <c r="BA33" s="34">
        <f t="shared" si="15"/>
        <v>0</v>
      </c>
      <c r="BB33" s="34">
        <f>(VLOOKUP(AW33,$W$8:$AU$1048576,18,FALSE))/7</f>
        <v>0</v>
      </c>
      <c r="BC33" s="34">
        <f t="shared" si="17"/>
        <v>0</v>
      </c>
      <c r="BD33" s="34">
        <f t="shared" si="18"/>
        <v>0</v>
      </c>
      <c r="BE33" s="34">
        <f t="shared" si="19"/>
        <v>0</v>
      </c>
      <c r="BG33" s="124">
        <v>44555</v>
      </c>
      <c r="BH33" s="2"/>
      <c r="BI33" s="2"/>
      <c r="BJ33" s="2">
        <v>91682</v>
      </c>
    </row>
    <row r="34" spans="12:62" x14ac:dyDescent="0.35">
      <c r="L34" s="124">
        <v>44557</v>
      </c>
      <c r="M34" s="2"/>
      <c r="N34" s="2"/>
      <c r="O34" s="2">
        <v>92144</v>
      </c>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20" t="s">
        <v>53</v>
      </c>
      <c r="AX34" s="34">
        <f t="shared" si="12"/>
        <v>0</v>
      </c>
      <c r="AY34" s="34">
        <f t="shared" si="13"/>
        <v>0</v>
      </c>
      <c r="AZ34" s="34">
        <f t="shared" si="14"/>
        <v>0</v>
      </c>
      <c r="BA34" s="34">
        <f t="shared" si="15"/>
        <v>0</v>
      </c>
      <c r="BB34" s="34">
        <f t="shared" si="16"/>
        <v>0</v>
      </c>
      <c r="BC34" s="34">
        <f t="shared" si="17"/>
        <v>0</v>
      </c>
      <c r="BD34" s="34">
        <f t="shared" si="18"/>
        <v>0</v>
      </c>
      <c r="BE34" s="34">
        <f t="shared" si="19"/>
        <v>0</v>
      </c>
      <c r="BG34" s="124">
        <v>44556</v>
      </c>
      <c r="BH34" s="2"/>
      <c r="BI34" s="2"/>
      <c r="BJ34" s="2">
        <v>91863</v>
      </c>
    </row>
    <row r="35" spans="12:62" x14ac:dyDescent="0.35">
      <c r="L35" s="124">
        <v>44558</v>
      </c>
      <c r="M35" s="2"/>
      <c r="N35" s="2"/>
      <c r="O35" s="2">
        <v>92592</v>
      </c>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20" t="s">
        <v>54</v>
      </c>
      <c r="AX35" s="34">
        <f t="shared" si="12"/>
        <v>0</v>
      </c>
      <c r="AY35" s="34">
        <f t="shared" si="13"/>
        <v>0</v>
      </c>
      <c r="AZ35" s="34">
        <f t="shared" si="14"/>
        <v>0</v>
      </c>
      <c r="BA35" s="34">
        <f t="shared" si="15"/>
        <v>0</v>
      </c>
      <c r="BB35" s="34">
        <f t="shared" si="16"/>
        <v>0</v>
      </c>
      <c r="BC35" s="34">
        <f t="shared" si="17"/>
        <v>0</v>
      </c>
      <c r="BD35" s="34">
        <f t="shared" si="18"/>
        <v>0</v>
      </c>
      <c r="BE35" s="34">
        <f t="shared" si="19"/>
        <v>0</v>
      </c>
      <c r="BG35" s="124">
        <v>44557</v>
      </c>
      <c r="BH35" s="2"/>
      <c r="BI35" s="2"/>
      <c r="BJ35" s="2">
        <v>92144</v>
      </c>
    </row>
    <row r="36" spans="12:62" x14ac:dyDescent="0.35">
      <c r="L36" s="124">
        <v>44559</v>
      </c>
      <c r="M36" s="2"/>
      <c r="N36" s="2"/>
      <c r="O36" s="2">
        <v>93286</v>
      </c>
      <c r="AW36" s="20"/>
      <c r="AX36" s="34"/>
      <c r="AY36" s="34"/>
      <c r="AZ36" s="34"/>
      <c r="BA36" s="34"/>
      <c r="BB36" s="34"/>
      <c r="BC36" s="34"/>
      <c r="BD36" s="34"/>
      <c r="BE36" s="34"/>
      <c r="BG36" s="124">
        <v>44558</v>
      </c>
      <c r="BH36" s="2"/>
      <c r="BI36" s="2"/>
      <c r="BJ36" s="2">
        <v>92592</v>
      </c>
    </row>
    <row r="37" spans="12:62" x14ac:dyDescent="0.35">
      <c r="L37" s="124">
        <v>44560</v>
      </c>
      <c r="M37" s="2"/>
      <c r="N37" s="2"/>
      <c r="O37" s="2">
        <v>93569</v>
      </c>
      <c r="V37" s="41"/>
      <c r="W37" s="41"/>
      <c r="X37" s="41"/>
      <c r="Y37" s="41"/>
      <c r="Z37" s="41"/>
      <c r="AA37" s="41"/>
      <c r="AB37" s="41"/>
      <c r="AC37" s="41"/>
      <c r="AD37" s="41"/>
      <c r="AE37" s="41"/>
      <c r="AF37" s="41"/>
      <c r="AG37" s="41"/>
      <c r="AH37" s="41"/>
      <c r="AI37" s="41"/>
      <c r="AJ37" s="41"/>
      <c r="AK37" s="41"/>
      <c r="AL37" s="41"/>
      <c r="AM37" s="41"/>
      <c r="AN37" s="41"/>
      <c r="AO37" s="41"/>
      <c r="AP37" s="109"/>
      <c r="AQ37" s="109"/>
      <c r="AR37" s="109"/>
      <c r="AS37" s="109"/>
      <c r="AT37" s="109"/>
      <c r="AU37" s="41"/>
      <c r="AV37" s="109"/>
      <c r="BC37" s="41"/>
      <c r="BD37" s="41"/>
      <c r="BE37" s="41"/>
      <c r="BG37" s="124">
        <v>44559</v>
      </c>
      <c r="BH37" s="2"/>
      <c r="BI37" s="2"/>
      <c r="BJ37" s="2">
        <v>93286</v>
      </c>
    </row>
    <row r="38" spans="12:62" x14ac:dyDescent="0.35">
      <c r="L38" s="124">
        <v>44561</v>
      </c>
      <c r="M38" s="2"/>
      <c r="N38" s="2"/>
      <c r="O38" s="2">
        <v>93579</v>
      </c>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5" t="s">
        <v>207</v>
      </c>
      <c r="AX38" t="s">
        <v>40</v>
      </c>
      <c r="AY38" s="41" t="s">
        <v>1</v>
      </c>
      <c r="AZ38" s="41" t="s">
        <v>220</v>
      </c>
      <c r="BA38" s="41" t="s">
        <v>249</v>
      </c>
      <c r="BB38" s="41" t="s">
        <v>217</v>
      </c>
      <c r="BC38" s="41" t="s">
        <v>218</v>
      </c>
      <c r="BD38" s="44" t="s">
        <v>252</v>
      </c>
      <c r="BE38" s="34" t="s">
        <v>251</v>
      </c>
      <c r="BG38" s="124">
        <v>44560</v>
      </c>
      <c r="BH38" s="2"/>
      <c r="BI38" s="2"/>
      <c r="BJ38" s="2">
        <v>93569</v>
      </c>
    </row>
    <row r="39" spans="12:62" x14ac:dyDescent="0.35">
      <c r="L39" s="124">
        <v>44562</v>
      </c>
      <c r="M39" s="2"/>
      <c r="N39" s="2"/>
      <c r="O39" s="2">
        <v>92885</v>
      </c>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21" t="s">
        <v>42</v>
      </c>
      <c r="AX39" s="34">
        <f>(VLOOKUP(AW39,$W$8:$AU$1048576,25,FALSE))/7</f>
        <v>94667.142857142855</v>
      </c>
      <c r="AY39" s="34">
        <f>(VLOOKUP(AW39,$W$8:$AU$1048576,7,FALSE))/7</f>
        <v>13132.714285714286</v>
      </c>
      <c r="AZ39" s="34">
        <f>(VLOOKUP(AW39,$W$8:$AU$1048576,10,FALSE))/7</f>
        <v>18066.428571428572</v>
      </c>
      <c r="BA39" s="34">
        <f>(VLOOKUP(AW39,$W$8:$AU$1048576,13,FALSE))/7</f>
        <v>16371</v>
      </c>
      <c r="BB39" s="34">
        <f>(VLOOKUP(AW39,$W$8:$AU$1048576,19,FALSE))/7</f>
        <v>13103.857142857143</v>
      </c>
      <c r="BC39" s="34">
        <f>(VLOOKUP(AW39,$W$8:$AU$1048576,22,FALSE))/7</f>
        <v>9721.4285714285706</v>
      </c>
      <c r="BD39" s="34">
        <f>(VLOOKUP(AW39,$W$8:$AU$1048576,4,FALSE))/7</f>
        <v>10194.142857142857</v>
      </c>
      <c r="BE39" s="34">
        <f>(VLOOKUP(AW39,$W$8:$AU$1048576,16,FALSE))/7</f>
        <v>14077.571428571429</v>
      </c>
      <c r="BG39" s="124">
        <v>44561</v>
      </c>
      <c r="BH39" s="2"/>
      <c r="BI39" s="2"/>
      <c r="BJ39" s="2">
        <v>93579</v>
      </c>
    </row>
    <row r="40" spans="12:62" x14ac:dyDescent="0.35">
      <c r="L40" s="124">
        <v>44563</v>
      </c>
      <c r="M40" s="2"/>
      <c r="N40" s="2"/>
      <c r="O40" s="2">
        <v>93007</v>
      </c>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20" t="s">
        <v>43</v>
      </c>
      <c r="AX40" s="34">
        <f t="shared" ref="AX40:AX52" si="20">(VLOOKUP(AW40,$W$8:$AU$1048576,25,FALSE))/7</f>
        <v>95070.28571428571</v>
      </c>
      <c r="AY40" s="34">
        <f t="shared" ref="AY40:AY52" si="21">(VLOOKUP(AW40,$W$8:$AU$1048576,7,FALSE))/7</f>
        <v>13100.428571428571</v>
      </c>
      <c r="AZ40" s="34">
        <f t="shared" ref="AZ40:AZ52" si="22">(VLOOKUP(AW40,$W$8:$AU$1048576,10,FALSE))/7</f>
        <v>18052.142857142859</v>
      </c>
      <c r="BA40" s="34">
        <f t="shared" ref="BA40:BA52" si="23">(VLOOKUP(AW40,$W$8:$AU$1048576,13,FALSE))/7</f>
        <v>16605.428571428572</v>
      </c>
      <c r="BB40" s="34">
        <f t="shared" ref="BB40:BB52" si="24">(VLOOKUP(AW40,$W$8:$AU$1048576,19,FALSE))/7</f>
        <v>13166.571428571429</v>
      </c>
      <c r="BC40" s="34">
        <f t="shared" ref="BC40:BC52" si="25">(VLOOKUP(AW40,$W$8:$AU$1048576,22,FALSE))/7</f>
        <v>9748.8571428571431</v>
      </c>
      <c r="BD40" s="34">
        <f t="shared" ref="BD40:BD52" si="26">(VLOOKUP(AW40,$W$8:$AU$1048576,4,FALSE))/7</f>
        <v>10261.857142857143</v>
      </c>
      <c r="BE40" s="34">
        <f t="shared" ref="BE40:BE52" si="27">(VLOOKUP(AW40,$W$8:$AU$1048576,16,FALSE))/7</f>
        <v>14135</v>
      </c>
      <c r="BG40" s="124">
        <v>44562</v>
      </c>
      <c r="BH40" s="2"/>
      <c r="BI40" s="2"/>
      <c r="BJ40" s="2">
        <v>92885</v>
      </c>
    </row>
    <row r="41" spans="12:62" x14ac:dyDescent="0.35">
      <c r="L41" s="124">
        <v>44564</v>
      </c>
      <c r="M41" s="2"/>
      <c r="N41" s="2"/>
      <c r="O41" s="2">
        <v>93514</v>
      </c>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20" t="s">
        <v>44</v>
      </c>
      <c r="AX41" s="34">
        <f t="shared" si="20"/>
        <v>94958.142857142855</v>
      </c>
      <c r="AY41" s="34">
        <f t="shared" si="21"/>
        <v>13136.857142857143</v>
      </c>
      <c r="AZ41" s="34">
        <f t="shared" si="22"/>
        <v>17990</v>
      </c>
      <c r="BA41" s="34">
        <f t="shared" si="23"/>
        <v>16597.142857142859</v>
      </c>
      <c r="BB41" s="34">
        <f t="shared" si="24"/>
        <v>13164.142857142857</v>
      </c>
      <c r="BC41" s="34">
        <f t="shared" si="25"/>
        <v>9666.7142857142862</v>
      </c>
      <c r="BD41" s="34">
        <f t="shared" si="26"/>
        <v>10275.428571428571</v>
      </c>
      <c r="BE41" s="34">
        <f t="shared" si="27"/>
        <v>14127.857142857143</v>
      </c>
      <c r="BG41" s="124">
        <v>44563</v>
      </c>
      <c r="BH41" s="2"/>
      <c r="BI41" s="2"/>
      <c r="BJ41" s="2">
        <v>93007</v>
      </c>
    </row>
    <row r="42" spans="12:62" x14ac:dyDescent="0.35">
      <c r="L42" s="124">
        <v>44565</v>
      </c>
      <c r="M42" s="2"/>
      <c r="N42" s="2"/>
      <c r="O42" s="2">
        <v>94575</v>
      </c>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20" t="s">
        <v>45</v>
      </c>
      <c r="AX42" s="34">
        <f t="shared" si="20"/>
        <v>93420.28571428571</v>
      </c>
      <c r="AY42" s="34">
        <f t="shared" si="21"/>
        <v>12937.428571428571</v>
      </c>
      <c r="AZ42" s="34">
        <f t="shared" si="22"/>
        <v>17756</v>
      </c>
      <c r="BA42" s="34">
        <f t="shared" si="23"/>
        <v>16255.857142857143</v>
      </c>
      <c r="BB42" s="34">
        <f t="shared" si="24"/>
        <v>12859.142857142857</v>
      </c>
      <c r="BC42" s="34">
        <f t="shared" si="25"/>
        <v>9461.5714285714294</v>
      </c>
      <c r="BD42" s="34">
        <f t="shared" si="26"/>
        <v>10177.857142857143</v>
      </c>
      <c r="BE42" s="34">
        <f t="shared" si="27"/>
        <v>13972.428571428571</v>
      </c>
      <c r="BG42" s="124">
        <v>44564</v>
      </c>
      <c r="BH42" s="2"/>
      <c r="BI42" s="2"/>
      <c r="BJ42" s="2">
        <v>93514</v>
      </c>
    </row>
    <row r="43" spans="12:62" x14ac:dyDescent="0.35">
      <c r="L43" s="124">
        <v>44566</v>
      </c>
      <c r="M43" s="2"/>
      <c r="N43" s="2"/>
      <c r="O43" s="2">
        <v>94810</v>
      </c>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20" t="s">
        <v>46</v>
      </c>
      <c r="AX43" s="34">
        <f t="shared" si="20"/>
        <v>93008.857142857145</v>
      </c>
      <c r="AY43" s="34">
        <f t="shared" si="21"/>
        <v>12783.428571428571</v>
      </c>
      <c r="AZ43" s="34">
        <f t="shared" si="22"/>
        <v>17752.857142857141</v>
      </c>
      <c r="BA43" s="34">
        <f t="shared" si="23"/>
        <v>16198.142857142857</v>
      </c>
      <c r="BB43" s="34">
        <f t="shared" si="24"/>
        <v>12862.142857142857</v>
      </c>
      <c r="BC43" s="34">
        <f t="shared" si="25"/>
        <v>9463.1428571428569</v>
      </c>
      <c r="BD43" s="34">
        <f t="shared" si="26"/>
        <v>10096.714285714286</v>
      </c>
      <c r="BE43" s="34">
        <f t="shared" si="27"/>
        <v>13852.428571428571</v>
      </c>
      <c r="BG43" s="124">
        <v>44565</v>
      </c>
      <c r="BH43" s="2"/>
      <c r="BI43" s="2"/>
      <c r="BJ43" s="2">
        <v>94575</v>
      </c>
    </row>
    <row r="44" spans="12:62" x14ac:dyDescent="0.35">
      <c r="L44" s="124">
        <v>44567</v>
      </c>
      <c r="M44" s="2"/>
      <c r="N44" s="2"/>
      <c r="O44" s="2">
        <v>94926</v>
      </c>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20" t="s">
        <v>47</v>
      </c>
      <c r="AX44" s="34">
        <f t="shared" si="20"/>
        <v>94616.71428571429</v>
      </c>
      <c r="AY44" s="34">
        <f t="shared" si="21"/>
        <v>13016.428571428571</v>
      </c>
      <c r="AZ44" s="34">
        <f t="shared" si="22"/>
        <v>18134.142857142859</v>
      </c>
      <c r="BA44" s="34">
        <f t="shared" si="23"/>
        <v>16459.142857142859</v>
      </c>
      <c r="BB44" s="34">
        <f t="shared" si="24"/>
        <v>13142.714285714286</v>
      </c>
      <c r="BC44" s="34">
        <f t="shared" si="25"/>
        <v>9637.2857142857138</v>
      </c>
      <c r="BD44" s="34">
        <f t="shared" si="26"/>
        <v>10219.571428571429</v>
      </c>
      <c r="BE44" s="34">
        <f t="shared" si="27"/>
        <v>14007.428571428571</v>
      </c>
      <c r="BG44" s="124">
        <v>44566</v>
      </c>
      <c r="BH44" s="2"/>
      <c r="BI44" s="2"/>
      <c r="BJ44" s="2">
        <v>94810</v>
      </c>
    </row>
    <row r="45" spans="12:62" x14ac:dyDescent="0.35">
      <c r="L45" s="124">
        <v>44568</v>
      </c>
      <c r="M45" s="2"/>
      <c r="N45" s="2"/>
      <c r="O45" s="2">
        <v>95077</v>
      </c>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20" t="s">
        <v>48</v>
      </c>
      <c r="AX45" s="34">
        <f t="shared" si="20"/>
        <v>95055.571428571435</v>
      </c>
      <c r="AY45" s="34">
        <f t="shared" si="21"/>
        <v>13189.571428571429</v>
      </c>
      <c r="AZ45" s="34">
        <f t="shared" si="22"/>
        <v>18299.571428571428</v>
      </c>
      <c r="BA45" s="34">
        <f t="shared" si="23"/>
        <v>16551.142857142859</v>
      </c>
      <c r="BB45" s="34">
        <f t="shared" si="24"/>
        <v>13162.285714285714</v>
      </c>
      <c r="BC45" s="34">
        <f t="shared" si="25"/>
        <v>9637.8571428571431</v>
      </c>
      <c r="BD45" s="34">
        <f t="shared" si="26"/>
        <v>10227</v>
      </c>
      <c r="BE45" s="34">
        <f t="shared" si="27"/>
        <v>13988.142857142857</v>
      </c>
      <c r="BG45" s="124">
        <v>44567</v>
      </c>
      <c r="BH45" s="2"/>
      <c r="BI45" s="2"/>
      <c r="BJ45" s="2">
        <v>94926</v>
      </c>
    </row>
    <row r="46" spans="12:62" x14ac:dyDescent="0.35">
      <c r="L46" s="124">
        <v>44569</v>
      </c>
      <c r="M46" s="2"/>
      <c r="N46" s="2"/>
      <c r="O46" s="2">
        <v>94676</v>
      </c>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20" t="s">
        <v>49</v>
      </c>
      <c r="AX46" s="34">
        <f t="shared" si="20"/>
        <v>94923.28571428571</v>
      </c>
      <c r="AY46" s="34">
        <f t="shared" si="21"/>
        <v>13256.714285714286</v>
      </c>
      <c r="AZ46" s="34">
        <f t="shared" si="22"/>
        <v>18261.285714285714</v>
      </c>
      <c r="BA46" s="34">
        <f t="shared" si="23"/>
        <v>16512.571428571428</v>
      </c>
      <c r="BB46" s="34">
        <f t="shared" si="24"/>
        <v>13063.142857142857</v>
      </c>
      <c r="BC46" s="34">
        <f t="shared" si="25"/>
        <v>9678.2857142857138</v>
      </c>
      <c r="BD46" s="34">
        <f t="shared" si="26"/>
        <v>10148.857142857143</v>
      </c>
      <c r="BE46" s="34">
        <f t="shared" si="27"/>
        <v>14002.428571428571</v>
      </c>
      <c r="BG46" s="124">
        <v>44568</v>
      </c>
      <c r="BH46" s="2"/>
      <c r="BI46" s="2"/>
      <c r="BJ46" s="2">
        <v>95077</v>
      </c>
    </row>
    <row r="47" spans="12:62" x14ac:dyDescent="0.35">
      <c r="L47" s="124">
        <v>44570</v>
      </c>
      <c r="M47" s="2"/>
      <c r="N47" s="2"/>
      <c r="O47" s="2">
        <v>94739</v>
      </c>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20" t="s">
        <v>50</v>
      </c>
      <c r="AX47" s="34">
        <f t="shared" si="20"/>
        <v>95281.857142857145</v>
      </c>
      <c r="AY47" s="34">
        <f t="shared" si="21"/>
        <v>13340.857142857143</v>
      </c>
      <c r="AZ47" s="34">
        <f t="shared" si="22"/>
        <v>18236.857142857141</v>
      </c>
      <c r="BA47" s="34">
        <f t="shared" si="23"/>
        <v>16515.285714285714</v>
      </c>
      <c r="BB47" s="34">
        <f t="shared" si="24"/>
        <v>13199.285714285714</v>
      </c>
      <c r="BC47" s="34">
        <f t="shared" si="25"/>
        <v>9735.4285714285706</v>
      </c>
      <c r="BD47" s="34">
        <f t="shared" si="26"/>
        <v>10221.571428571429</v>
      </c>
      <c r="BE47" s="34">
        <f t="shared" si="27"/>
        <v>14032.571428571429</v>
      </c>
      <c r="BG47" s="124">
        <v>44569</v>
      </c>
      <c r="BH47" s="2"/>
      <c r="BI47" s="2"/>
      <c r="BJ47" s="2">
        <v>94676</v>
      </c>
    </row>
    <row r="48" spans="12:62" x14ac:dyDescent="0.35">
      <c r="L48" s="124">
        <v>44571</v>
      </c>
      <c r="M48" s="2"/>
      <c r="N48" s="2"/>
      <c r="O48" s="2">
        <v>95197</v>
      </c>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20" t="s">
        <v>51</v>
      </c>
      <c r="AX48" s="34">
        <f t="shared" si="20"/>
        <v>95747.428571428565</v>
      </c>
      <c r="AY48" s="34">
        <f t="shared" si="21"/>
        <v>13413.285714285714</v>
      </c>
      <c r="AZ48" s="34">
        <f t="shared" si="22"/>
        <v>18318.571428571428</v>
      </c>
      <c r="BA48" s="34">
        <f t="shared" si="23"/>
        <v>16582.142857142859</v>
      </c>
      <c r="BB48" s="34">
        <f t="shared" si="24"/>
        <v>13227.142857142857</v>
      </c>
      <c r="BC48" s="34">
        <f t="shared" si="25"/>
        <v>9807.4285714285706</v>
      </c>
      <c r="BD48" s="34">
        <f t="shared" si="26"/>
        <v>10312.142857142857</v>
      </c>
      <c r="BE48" s="34">
        <f t="shared" si="27"/>
        <v>14086.714285714286</v>
      </c>
      <c r="BG48" s="124">
        <v>44570</v>
      </c>
      <c r="BH48" s="2"/>
      <c r="BI48" s="2"/>
      <c r="BJ48" s="2">
        <v>94739</v>
      </c>
    </row>
    <row r="49" spans="12:62" x14ac:dyDescent="0.35">
      <c r="L49" s="124">
        <v>44572</v>
      </c>
      <c r="M49" s="2"/>
      <c r="N49" s="2"/>
      <c r="O49" s="2">
        <v>95409</v>
      </c>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20" t="s">
        <v>52</v>
      </c>
      <c r="AX49" s="34">
        <f t="shared" si="20"/>
        <v>95404.571428571435</v>
      </c>
      <c r="AY49" s="34">
        <f t="shared" si="21"/>
        <v>13420</v>
      </c>
      <c r="AZ49" s="34">
        <f t="shared" si="22"/>
        <v>18297.285714285714</v>
      </c>
      <c r="BA49" s="34">
        <f t="shared" si="23"/>
        <v>16108.571428571429</v>
      </c>
      <c r="BB49" s="34">
        <f t="shared" si="24"/>
        <v>13320</v>
      </c>
      <c r="BC49" s="34">
        <f t="shared" si="25"/>
        <v>9865.5714285714294</v>
      </c>
      <c r="BD49" s="34">
        <f>(VLOOKUP(AW49,$W$8:$AU$1048576,4,FALSE))/7</f>
        <v>10314</v>
      </c>
      <c r="BE49" s="34">
        <f t="shared" si="27"/>
        <v>14079.142857142857</v>
      </c>
      <c r="BG49" s="124">
        <v>44571</v>
      </c>
      <c r="BH49" s="2"/>
      <c r="BI49" s="2"/>
      <c r="BJ49" s="2">
        <v>95197</v>
      </c>
    </row>
    <row r="50" spans="12:62" x14ac:dyDescent="0.35">
      <c r="L50" s="124">
        <v>44573</v>
      </c>
      <c r="M50" s="2"/>
      <c r="N50" s="2"/>
      <c r="O50" s="2">
        <v>95405</v>
      </c>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20" t="s">
        <v>53</v>
      </c>
      <c r="AX50" s="34">
        <f t="shared" si="20"/>
        <v>96079.28571428571</v>
      </c>
      <c r="AY50" s="34">
        <f t="shared" si="21"/>
        <v>13398.714285714286</v>
      </c>
      <c r="AZ50" s="34">
        <f t="shared" si="22"/>
        <v>18334.571428571428</v>
      </c>
      <c r="BA50" s="34">
        <f t="shared" si="23"/>
        <v>16754</v>
      </c>
      <c r="BB50" s="34">
        <f t="shared" si="24"/>
        <v>13287.571428571429</v>
      </c>
      <c r="BC50" s="34">
        <f t="shared" si="25"/>
        <v>9887.4285714285706</v>
      </c>
      <c r="BD50" s="34">
        <f t="shared" si="26"/>
        <v>10367.285714285714</v>
      </c>
      <c r="BE50" s="34">
        <f t="shared" si="27"/>
        <v>14049.714285714286</v>
      </c>
      <c r="BG50" s="124">
        <v>44572</v>
      </c>
      <c r="BH50" s="2"/>
      <c r="BI50" s="2"/>
      <c r="BJ50" s="2">
        <v>95409</v>
      </c>
    </row>
    <row r="51" spans="12:62" x14ac:dyDescent="0.35">
      <c r="L51" s="124">
        <v>44574</v>
      </c>
      <c r="M51" s="2"/>
      <c r="N51" s="2"/>
      <c r="O51" s="2">
        <v>95126</v>
      </c>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20" t="s">
        <v>54</v>
      </c>
      <c r="AX51" s="34">
        <f>(VLOOKUP(AW51,$W$8:$AU$1048576,25,FALSE))/7</f>
        <v>96293</v>
      </c>
      <c r="AY51" s="34">
        <f t="shared" si="21"/>
        <v>13482.857142857143</v>
      </c>
      <c r="AZ51" s="34">
        <f t="shared" si="22"/>
        <v>18325.285714285714</v>
      </c>
      <c r="BA51" s="34">
        <f t="shared" si="23"/>
        <v>16731.285714285714</v>
      </c>
      <c r="BB51" s="34">
        <f t="shared" si="24"/>
        <v>13316.428571428571</v>
      </c>
      <c r="BC51" s="34">
        <f t="shared" si="25"/>
        <v>9927.2857142857138</v>
      </c>
      <c r="BD51" s="34">
        <f t="shared" si="26"/>
        <v>10394.142857142857</v>
      </c>
      <c r="BE51" s="34">
        <f t="shared" si="27"/>
        <v>14115.714285714286</v>
      </c>
      <c r="BG51" s="124">
        <v>44573</v>
      </c>
      <c r="BH51" s="2"/>
      <c r="BI51" s="2"/>
      <c r="BJ51" s="2">
        <v>95405</v>
      </c>
    </row>
    <row r="52" spans="12:62" x14ac:dyDescent="0.35">
      <c r="L52" s="124">
        <v>44575</v>
      </c>
      <c r="M52" s="2"/>
      <c r="N52" s="2"/>
      <c r="O52" s="2">
        <v>95010</v>
      </c>
      <c r="AW52" s="20" t="s">
        <v>55</v>
      </c>
      <c r="AX52" s="34" t="e">
        <f t="shared" si="20"/>
        <v>#N/A</v>
      </c>
      <c r="AY52" s="34" t="e">
        <f t="shared" si="21"/>
        <v>#N/A</v>
      </c>
      <c r="AZ52" s="34" t="e">
        <f t="shared" si="22"/>
        <v>#N/A</v>
      </c>
      <c r="BA52" s="34" t="e">
        <f t="shared" si="23"/>
        <v>#N/A</v>
      </c>
      <c r="BB52" s="34" t="e">
        <f t="shared" si="24"/>
        <v>#N/A</v>
      </c>
      <c r="BC52" s="34" t="e">
        <f t="shared" si="25"/>
        <v>#N/A</v>
      </c>
      <c r="BD52" s="34" t="e">
        <f t="shared" si="26"/>
        <v>#N/A</v>
      </c>
      <c r="BE52" s="34" t="e">
        <f t="shared" si="27"/>
        <v>#N/A</v>
      </c>
      <c r="BG52" s="124">
        <v>44574</v>
      </c>
      <c r="BH52" s="2"/>
      <c r="BI52" s="2"/>
      <c r="BJ52" s="2">
        <v>95126</v>
      </c>
    </row>
    <row r="53" spans="12:62" x14ac:dyDescent="0.35">
      <c r="L53" s="124">
        <v>44576</v>
      </c>
      <c r="M53" s="2"/>
      <c r="N53" s="2"/>
      <c r="O53" s="2">
        <v>94627</v>
      </c>
      <c r="BG53" s="124">
        <v>44575</v>
      </c>
      <c r="BH53" s="2"/>
      <c r="BI53" s="2"/>
      <c r="BJ53" s="2">
        <v>95010</v>
      </c>
    </row>
    <row r="54" spans="12:62" x14ac:dyDescent="0.35">
      <c r="L54" s="124">
        <v>44577</v>
      </c>
      <c r="M54" s="2"/>
      <c r="N54" s="2"/>
      <c r="O54" s="2">
        <v>94615</v>
      </c>
      <c r="BG54" s="124">
        <v>44576</v>
      </c>
      <c r="BH54" s="2"/>
      <c r="BI54" s="2"/>
      <c r="BJ54" s="2">
        <v>94627</v>
      </c>
    </row>
    <row r="55" spans="12:62" x14ac:dyDescent="0.35">
      <c r="L55" s="124">
        <v>44578</v>
      </c>
      <c r="M55" s="2"/>
      <c r="N55" s="2"/>
      <c r="O55" s="2">
        <v>94793</v>
      </c>
      <c r="BG55" s="124">
        <v>44577</v>
      </c>
      <c r="BH55" s="2"/>
      <c r="BI55" s="2"/>
      <c r="BJ55" s="2">
        <v>94615</v>
      </c>
    </row>
    <row r="56" spans="12:62" x14ac:dyDescent="0.35">
      <c r="L56" s="124">
        <v>44579</v>
      </c>
      <c r="M56" s="2"/>
      <c r="N56" s="2"/>
      <c r="O56" s="2">
        <v>95080</v>
      </c>
      <c r="BG56" s="124">
        <v>44578</v>
      </c>
      <c r="BH56" s="2"/>
      <c r="BI56" s="2"/>
      <c r="BJ56" s="2">
        <v>94793</v>
      </c>
    </row>
    <row r="57" spans="12:62" x14ac:dyDescent="0.35">
      <c r="L57" s="124">
        <v>44580</v>
      </c>
      <c r="M57" s="2"/>
      <c r="N57" s="2"/>
      <c r="O57" s="2">
        <v>95152</v>
      </c>
      <c r="BG57" s="124">
        <v>44579</v>
      </c>
      <c r="BH57" s="2"/>
      <c r="BI57" s="2"/>
      <c r="BJ57" s="2">
        <v>95080</v>
      </c>
    </row>
    <row r="58" spans="12:62" x14ac:dyDescent="0.35">
      <c r="L58" s="124">
        <v>44581</v>
      </c>
      <c r="M58" s="2"/>
      <c r="N58" s="2"/>
      <c r="O58" s="2">
        <v>95058</v>
      </c>
      <c r="BG58" s="124">
        <v>44580</v>
      </c>
      <c r="BH58" s="2"/>
      <c r="BI58" s="2"/>
      <c r="BJ58" s="2">
        <v>95152</v>
      </c>
    </row>
    <row r="59" spans="12:62" x14ac:dyDescent="0.35">
      <c r="L59" s="124">
        <v>44582</v>
      </c>
      <c r="M59" s="2"/>
      <c r="N59" s="2"/>
      <c r="O59" s="2">
        <v>94997</v>
      </c>
      <c r="BG59" s="124">
        <v>44581</v>
      </c>
      <c r="BH59" s="2"/>
      <c r="BI59" s="2"/>
      <c r="BJ59" s="2">
        <v>95058</v>
      </c>
    </row>
    <row r="60" spans="12:62" x14ac:dyDescent="0.35">
      <c r="L60" s="124">
        <v>44583</v>
      </c>
      <c r="M60" s="2"/>
      <c r="N60" s="2"/>
      <c r="O60" s="2">
        <v>94653</v>
      </c>
      <c r="BG60" s="124">
        <v>44582</v>
      </c>
      <c r="BH60" s="2"/>
      <c r="BI60" s="2"/>
      <c r="BJ60" s="2">
        <v>94997</v>
      </c>
    </row>
    <row r="61" spans="12:62" x14ac:dyDescent="0.35">
      <c r="L61" s="124">
        <v>44584</v>
      </c>
      <c r="M61" s="2"/>
      <c r="N61" s="2"/>
      <c r="O61" s="2">
        <v>94730</v>
      </c>
      <c r="BG61" s="124">
        <v>44583</v>
      </c>
      <c r="BH61" s="2"/>
      <c r="BI61" s="2"/>
      <c r="BJ61" s="2">
        <v>94653</v>
      </c>
    </row>
    <row r="62" spans="12:62" x14ac:dyDescent="0.35">
      <c r="L62" s="124">
        <v>44585</v>
      </c>
      <c r="M62" s="2"/>
      <c r="N62" s="2"/>
      <c r="O62" s="2">
        <v>95086</v>
      </c>
      <c r="BG62" s="124">
        <v>44584</v>
      </c>
      <c r="BH62" s="2"/>
      <c r="BI62" s="2"/>
      <c r="BJ62" s="2">
        <v>94730</v>
      </c>
    </row>
    <row r="63" spans="12:62" x14ac:dyDescent="0.35">
      <c r="L63" s="124">
        <v>44586</v>
      </c>
      <c r="M63" s="2"/>
      <c r="N63" s="2"/>
      <c r="O63" s="2">
        <v>95362</v>
      </c>
      <c r="BG63" s="124">
        <v>44585</v>
      </c>
      <c r="BH63" s="2"/>
      <c r="BI63" s="2"/>
      <c r="BJ63" s="2">
        <v>95086</v>
      </c>
    </row>
    <row r="64" spans="12:62" x14ac:dyDescent="0.35">
      <c r="L64" s="124">
        <v>44587</v>
      </c>
      <c r="M64" s="2"/>
      <c r="N64" s="2"/>
      <c r="O64" s="2">
        <v>95522</v>
      </c>
      <c r="BG64" s="124">
        <v>44586</v>
      </c>
      <c r="BH64" s="2"/>
      <c r="BI64" s="2"/>
      <c r="BJ64" s="2">
        <v>95362</v>
      </c>
    </row>
    <row r="65" spans="12:62" x14ac:dyDescent="0.35">
      <c r="L65" s="124">
        <v>44588</v>
      </c>
      <c r="M65" s="2"/>
      <c r="N65" s="2"/>
      <c r="O65" s="2">
        <v>95448</v>
      </c>
      <c r="BG65" s="124">
        <v>44587</v>
      </c>
      <c r="BH65" s="2"/>
      <c r="BI65" s="2"/>
      <c r="BJ65" s="2">
        <v>95522</v>
      </c>
    </row>
    <row r="66" spans="12:62" x14ac:dyDescent="0.35">
      <c r="L66" s="124">
        <v>44589</v>
      </c>
      <c r="M66" s="2"/>
      <c r="N66" s="2"/>
      <c r="O66" s="2">
        <v>95428</v>
      </c>
      <c r="BG66" s="124">
        <v>44588</v>
      </c>
      <c r="BH66" s="2"/>
      <c r="BI66" s="2"/>
      <c r="BJ66" s="2">
        <v>95448</v>
      </c>
    </row>
    <row r="67" spans="12:62" x14ac:dyDescent="0.35">
      <c r="L67" s="124">
        <v>44590</v>
      </c>
      <c r="M67" s="2"/>
      <c r="N67" s="2"/>
      <c r="O67" s="2">
        <v>94988</v>
      </c>
      <c r="BG67" s="124">
        <v>44589</v>
      </c>
      <c r="BH67" s="2"/>
      <c r="BI67" s="2"/>
      <c r="BJ67" s="2">
        <v>95428</v>
      </c>
    </row>
    <row r="68" spans="12:62" x14ac:dyDescent="0.35">
      <c r="L68" s="124">
        <v>44591</v>
      </c>
      <c r="M68" s="2"/>
      <c r="N68" s="2"/>
      <c r="O68" s="2">
        <v>95139</v>
      </c>
      <c r="BG68" s="124">
        <v>44590</v>
      </c>
      <c r="BH68" s="2"/>
      <c r="BI68" s="2"/>
      <c r="BJ68" s="2">
        <v>94988</v>
      </c>
    </row>
    <row r="69" spans="12:62" x14ac:dyDescent="0.35">
      <c r="L69" s="124">
        <v>44592</v>
      </c>
      <c r="M69" s="2"/>
      <c r="N69" s="2"/>
      <c r="O69" s="2">
        <v>95868</v>
      </c>
      <c r="BG69" s="124">
        <v>44591</v>
      </c>
      <c r="BH69" s="2"/>
      <c r="BI69" s="2"/>
      <c r="BJ69" s="2">
        <v>95139</v>
      </c>
    </row>
    <row r="70" spans="12:62" x14ac:dyDescent="0.35">
      <c r="L70" s="124">
        <v>44593</v>
      </c>
      <c r="M70" s="2"/>
      <c r="N70" s="2"/>
      <c r="O70" s="2">
        <v>95952</v>
      </c>
      <c r="BG70" s="124">
        <v>44592</v>
      </c>
      <c r="BH70" s="2"/>
      <c r="BI70" s="2"/>
      <c r="BJ70" s="2">
        <v>95868</v>
      </c>
    </row>
    <row r="71" spans="12:62" x14ac:dyDescent="0.35">
      <c r="L71" s="124">
        <v>44594</v>
      </c>
      <c r="M71" s="2"/>
      <c r="N71" s="2"/>
      <c r="O71" s="2">
        <v>95852</v>
      </c>
      <c r="BG71" s="124">
        <v>44593</v>
      </c>
      <c r="BH71" s="2"/>
      <c r="BI71" s="2"/>
      <c r="BJ71" s="2">
        <v>95952</v>
      </c>
    </row>
    <row r="72" spans="12:62" x14ac:dyDescent="0.35">
      <c r="L72" s="124">
        <v>44595</v>
      </c>
      <c r="M72" s="2"/>
      <c r="N72" s="2"/>
      <c r="O72" s="2">
        <v>96041</v>
      </c>
      <c r="BG72" s="124">
        <v>44594</v>
      </c>
      <c r="BH72" s="2"/>
      <c r="BI72" s="2"/>
      <c r="BJ72" s="2">
        <v>95852</v>
      </c>
    </row>
    <row r="73" spans="12:62" x14ac:dyDescent="0.35">
      <c r="L73" s="124">
        <v>44596</v>
      </c>
      <c r="M73" s="2"/>
      <c r="N73" s="2"/>
      <c r="O73" s="2">
        <v>95765</v>
      </c>
      <c r="BG73" s="124">
        <v>44595</v>
      </c>
      <c r="BH73" s="2"/>
      <c r="BI73" s="2"/>
      <c r="BJ73" s="2">
        <v>96041</v>
      </c>
    </row>
    <row r="74" spans="12:62" x14ac:dyDescent="0.35">
      <c r="L74" s="124">
        <v>44597</v>
      </c>
      <c r="M74" s="2"/>
      <c r="N74" s="2"/>
      <c r="O74" s="2">
        <v>95413</v>
      </c>
      <c r="BG74" s="124">
        <v>44596</v>
      </c>
      <c r="BH74" s="2"/>
      <c r="BI74" s="2"/>
      <c r="BJ74" s="2">
        <v>95765</v>
      </c>
    </row>
    <row r="75" spans="12:62" x14ac:dyDescent="0.35">
      <c r="L75" s="124">
        <v>44598</v>
      </c>
      <c r="M75" s="2"/>
      <c r="N75" s="2"/>
      <c r="O75" s="2">
        <v>95341</v>
      </c>
      <c r="BG75" s="124">
        <v>44597</v>
      </c>
      <c r="BH75" s="2"/>
      <c r="BI75" s="2"/>
      <c r="BJ75" s="2">
        <v>95413</v>
      </c>
    </row>
    <row r="76" spans="12:62" x14ac:dyDescent="0.35">
      <c r="L76" s="124">
        <v>44599</v>
      </c>
      <c r="M76" s="2"/>
      <c r="N76" s="2"/>
      <c r="O76" s="2">
        <v>95934</v>
      </c>
      <c r="BG76" s="124">
        <v>44598</v>
      </c>
      <c r="BH76" s="2"/>
      <c r="BI76" s="2"/>
      <c r="BJ76" s="2">
        <v>95341</v>
      </c>
    </row>
    <row r="77" spans="12:62" x14ac:dyDescent="0.35">
      <c r="L77" s="124">
        <v>44600</v>
      </c>
      <c r="M77" s="2"/>
      <c r="N77" s="2"/>
      <c r="O77" s="2">
        <v>96219</v>
      </c>
      <c r="BG77" s="124">
        <v>44599</v>
      </c>
      <c r="BH77" s="2"/>
      <c r="BI77" s="2"/>
      <c r="BJ77" s="2">
        <v>95934</v>
      </c>
    </row>
    <row r="78" spans="12:62" x14ac:dyDescent="0.35">
      <c r="L78" s="124">
        <v>44601</v>
      </c>
      <c r="M78" s="2"/>
      <c r="N78" s="2"/>
      <c r="O78" s="2">
        <v>95578</v>
      </c>
      <c r="BG78" s="124">
        <v>44600</v>
      </c>
      <c r="BH78" s="2"/>
      <c r="BI78" s="2"/>
      <c r="BJ78" s="2">
        <v>96219</v>
      </c>
    </row>
    <row r="79" spans="12:62" x14ac:dyDescent="0.35">
      <c r="L79" s="124">
        <v>44602</v>
      </c>
      <c r="M79" s="2"/>
      <c r="N79" s="2"/>
      <c r="O79" s="2">
        <v>95454</v>
      </c>
      <c r="BG79" s="124">
        <v>44601</v>
      </c>
      <c r="BH79" s="2"/>
      <c r="BI79" s="2"/>
      <c r="BJ79" s="2">
        <v>95578</v>
      </c>
    </row>
    <row r="80" spans="12:62" x14ac:dyDescent="0.35">
      <c r="L80" s="124">
        <v>44603</v>
      </c>
      <c r="M80" s="2"/>
      <c r="N80" s="2"/>
      <c r="O80" s="2">
        <v>95244</v>
      </c>
      <c r="BG80" s="124">
        <v>44602</v>
      </c>
      <c r="BH80" s="2"/>
      <c r="BI80" s="2"/>
      <c r="BJ80" s="2">
        <v>95454</v>
      </c>
    </row>
    <row r="81" spans="12:62" x14ac:dyDescent="0.35">
      <c r="L81" s="124">
        <v>44604</v>
      </c>
      <c r="M81" s="2"/>
      <c r="N81" s="2"/>
      <c r="O81" s="2">
        <v>94601</v>
      </c>
      <c r="BG81" s="124">
        <v>44603</v>
      </c>
      <c r="BH81" s="2"/>
      <c r="BI81" s="2"/>
      <c r="BJ81" s="2">
        <v>95244</v>
      </c>
    </row>
    <row r="82" spans="12:62" x14ac:dyDescent="0.35">
      <c r="L82" s="124">
        <v>44605</v>
      </c>
      <c r="M82" s="2"/>
      <c r="N82" s="2"/>
      <c r="O82" s="2">
        <v>94802</v>
      </c>
      <c r="BG82" s="124">
        <v>44604</v>
      </c>
      <c r="BH82" s="2"/>
      <c r="BI82" s="2"/>
      <c r="BJ82" s="2">
        <v>94601</v>
      </c>
    </row>
    <row r="83" spans="12:62" x14ac:dyDescent="0.35">
      <c r="L83" s="124">
        <v>44606</v>
      </c>
      <c r="M83" s="2"/>
      <c r="N83" s="2"/>
      <c r="O83" s="2">
        <v>95935</v>
      </c>
      <c r="BG83" s="124">
        <v>44605</v>
      </c>
      <c r="BH83" s="2"/>
      <c r="BI83" s="2"/>
      <c r="BJ83" s="2">
        <v>94802</v>
      </c>
    </row>
    <row r="84" spans="12:62" x14ac:dyDescent="0.35">
      <c r="L84" s="124">
        <v>44607</v>
      </c>
      <c r="M84" s="2"/>
      <c r="N84" s="2"/>
      <c r="O84" s="2">
        <v>96087</v>
      </c>
      <c r="BG84" s="124">
        <v>44606</v>
      </c>
      <c r="BH84" s="2"/>
      <c r="BI84" s="2"/>
      <c r="BJ84" s="2">
        <v>95935</v>
      </c>
    </row>
    <row r="85" spans="12:62" x14ac:dyDescent="0.35">
      <c r="L85" s="124">
        <v>44608</v>
      </c>
      <c r="M85" s="2"/>
      <c r="N85" s="2"/>
      <c r="O85" s="2">
        <v>96230</v>
      </c>
      <c r="BG85" s="124">
        <v>44607</v>
      </c>
      <c r="BH85" s="2"/>
      <c r="BI85" s="2"/>
      <c r="BJ85" s="2">
        <v>96087</v>
      </c>
    </row>
    <row r="86" spans="12:62" x14ac:dyDescent="0.35">
      <c r="L86" s="124">
        <v>44609</v>
      </c>
      <c r="M86" s="2"/>
      <c r="N86" s="2"/>
      <c r="O86" s="2">
        <v>96217</v>
      </c>
      <c r="BG86" s="124">
        <v>44608</v>
      </c>
      <c r="BH86" s="2"/>
      <c r="BI86" s="2"/>
      <c r="BJ86" s="2">
        <v>96230</v>
      </c>
    </row>
    <row r="87" spans="12:62" x14ac:dyDescent="0.35">
      <c r="L87" s="124">
        <v>44610</v>
      </c>
      <c r="M87" s="2"/>
      <c r="N87" s="2"/>
      <c r="O87" s="2">
        <v>96200</v>
      </c>
      <c r="BG87" s="124">
        <v>44609</v>
      </c>
      <c r="BH87" s="2"/>
      <c r="BI87" s="2"/>
      <c r="BJ87" s="2">
        <v>96217</v>
      </c>
    </row>
    <row r="88" spans="12:62" x14ac:dyDescent="0.35">
      <c r="L88" s="124">
        <v>44611</v>
      </c>
      <c r="M88" s="2"/>
      <c r="N88" s="2"/>
      <c r="O88" s="2">
        <v>95906</v>
      </c>
      <c r="BG88" s="124">
        <v>44610</v>
      </c>
      <c r="BH88" s="2"/>
      <c r="BI88" s="2"/>
      <c r="BJ88" s="2">
        <v>96200</v>
      </c>
    </row>
    <row r="89" spans="12:62" x14ac:dyDescent="0.35">
      <c r="L89" s="124">
        <v>44612</v>
      </c>
      <c r="M89" s="2"/>
      <c r="N89" s="2"/>
      <c r="O89" s="2">
        <v>95980</v>
      </c>
      <c r="BG89" s="124">
        <v>44611</v>
      </c>
      <c r="BH89" s="2"/>
      <c r="BI89" s="2"/>
      <c r="BJ89" s="2">
        <v>95906</v>
      </c>
    </row>
    <row r="90" spans="12:62" x14ac:dyDescent="0.35">
      <c r="L90" s="124">
        <v>44613</v>
      </c>
      <c r="M90" s="2"/>
      <c r="N90" s="2"/>
      <c r="O90" s="2">
        <v>96194</v>
      </c>
      <c r="BG90" s="124">
        <v>44612</v>
      </c>
      <c r="BH90" s="2"/>
      <c r="BI90" s="2"/>
      <c r="BJ90" s="2">
        <v>95980</v>
      </c>
    </row>
    <row r="91" spans="12:62" x14ac:dyDescent="0.35">
      <c r="L91" s="124">
        <v>44614</v>
      </c>
      <c r="M91" s="2"/>
      <c r="N91" s="2"/>
      <c r="O91" s="2">
        <v>96524</v>
      </c>
      <c r="BG91" s="124">
        <v>44613</v>
      </c>
      <c r="BH91" s="2"/>
      <c r="BI91" s="2"/>
      <c r="BJ91" s="2">
        <v>96194</v>
      </c>
    </row>
    <row r="92" spans="12:62" x14ac:dyDescent="0.35">
      <c r="L92" s="124">
        <v>44615</v>
      </c>
      <c r="M92" s="2"/>
      <c r="N92" s="2"/>
      <c r="O92" s="2">
        <v>96582</v>
      </c>
      <c r="BG92" s="124">
        <v>44614</v>
      </c>
      <c r="BH92" s="2"/>
      <c r="BI92" s="2"/>
      <c r="BJ92" s="2">
        <v>96524</v>
      </c>
    </row>
    <row r="93" spans="12:62" x14ac:dyDescent="0.35">
      <c r="L93" s="124">
        <v>44616</v>
      </c>
      <c r="M93" s="2"/>
      <c r="N93" s="2"/>
      <c r="O93" s="2">
        <v>96453</v>
      </c>
      <c r="BG93" s="124">
        <v>44615</v>
      </c>
      <c r="BH93" s="2"/>
      <c r="BI93" s="2"/>
      <c r="BJ93" s="2">
        <v>96582</v>
      </c>
    </row>
    <row r="94" spans="12:62" x14ac:dyDescent="0.35">
      <c r="L94" s="124">
        <v>44617</v>
      </c>
      <c r="M94" s="2"/>
      <c r="N94" s="2"/>
      <c r="O94" s="2">
        <v>96388</v>
      </c>
      <c r="BG94" s="124">
        <v>44616</v>
      </c>
      <c r="BH94" s="2"/>
      <c r="BI94" s="2"/>
      <c r="BJ94" s="2">
        <v>96453</v>
      </c>
    </row>
    <row r="95" spans="12:62" x14ac:dyDescent="0.35">
      <c r="L95" s="124">
        <v>44618</v>
      </c>
      <c r="M95" s="2"/>
      <c r="N95" s="2"/>
      <c r="O95" s="2">
        <v>96050</v>
      </c>
      <c r="BG95" s="124">
        <v>44617</v>
      </c>
      <c r="BH95" s="2"/>
      <c r="BI95" s="2"/>
      <c r="BJ95" s="2">
        <v>96388</v>
      </c>
    </row>
    <row r="96" spans="12:62" x14ac:dyDescent="0.35">
      <c r="L96" s="124">
        <v>44619</v>
      </c>
      <c r="M96" s="2"/>
      <c r="N96" s="2"/>
      <c r="O96" s="2">
        <v>95860</v>
      </c>
      <c r="BG96" s="124">
        <v>44618</v>
      </c>
      <c r="BH96" s="2"/>
      <c r="BI96" s="2"/>
      <c r="BJ96" s="2">
        <v>96050</v>
      </c>
    </row>
    <row r="97" spans="59:62" x14ac:dyDescent="0.35">
      <c r="BG97" s="124">
        <v>44619</v>
      </c>
      <c r="BH97" s="2"/>
      <c r="BI97" s="2"/>
      <c r="BJ97" s="2">
        <v>95860</v>
      </c>
    </row>
  </sheetData>
  <mergeCells count="4">
    <mergeCell ref="W1:BD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L569"/>
  <sheetViews>
    <sheetView topLeftCell="Y131" zoomScale="70" zoomScaleNormal="70" workbookViewId="0">
      <selection activeCell="AM151" sqref="AM151"/>
    </sheetView>
  </sheetViews>
  <sheetFormatPr defaultRowHeight="14.5" x14ac:dyDescent="0.35"/>
  <cols>
    <col min="1" max="1" width="3.7265625" customWidth="1"/>
    <col min="2" max="2" width="17.26953125" bestFit="1" customWidth="1"/>
    <col min="3" max="3" width="11.81640625" bestFit="1" customWidth="1"/>
    <col min="4" max="4" width="12.26953125" bestFit="1" customWidth="1"/>
    <col min="9" max="9" width="17.26953125" bestFit="1" customWidth="1"/>
    <col min="10" max="10" width="21" bestFit="1" customWidth="1"/>
    <col min="11" max="11" width="12.26953125" bestFit="1" customWidth="1"/>
    <col min="12" max="12" width="11.54296875" bestFit="1" customWidth="1"/>
    <col min="13" max="13" width="12.26953125" bestFit="1" customWidth="1"/>
    <col min="14" max="14" width="11.54296875" bestFit="1" customWidth="1"/>
    <col min="15" max="15" width="12.26953125" bestFit="1" customWidth="1"/>
    <col min="16" max="16" width="28.7265625" bestFit="1" customWidth="1"/>
    <col min="17" max="17" width="12.26953125" bestFit="1" customWidth="1"/>
    <col min="18" max="18" width="13.36328125" bestFit="1" customWidth="1"/>
    <col min="19" max="19" width="12.26953125" bestFit="1" customWidth="1"/>
    <col min="20" max="20" width="13.36328125" bestFit="1" customWidth="1"/>
    <col min="21" max="21" width="12.26953125" bestFit="1" customWidth="1"/>
    <col min="22" max="22" width="13.90625" bestFit="1" customWidth="1"/>
    <col min="23" max="23" width="12.26953125" bestFit="1" customWidth="1"/>
    <col min="24" max="24" width="17.81640625" bestFit="1" customWidth="1"/>
    <col min="25" max="25" width="18.36328125" bestFit="1" customWidth="1"/>
    <col min="38" max="38" width="79.08984375" bestFit="1" customWidth="1"/>
    <col min="39" max="39" width="21" bestFit="1" customWidth="1"/>
    <col min="40" max="40" width="10.08984375" bestFit="1" customWidth="1"/>
    <col min="41" max="41" width="11.453125" bestFit="1" customWidth="1"/>
    <col min="42" max="42" width="9.81640625" bestFit="1" customWidth="1"/>
    <col min="43" max="43" width="11.54296875" bestFit="1" customWidth="1"/>
    <col min="44" max="44" width="10.90625" bestFit="1" customWidth="1"/>
    <col min="45" max="45" width="14.1796875" bestFit="1" customWidth="1"/>
    <col min="46" max="46" width="15.08984375" bestFit="1" customWidth="1"/>
    <col min="47" max="47" width="10.81640625" bestFit="1" customWidth="1"/>
    <col min="48" max="48" width="10.08984375" bestFit="1" customWidth="1"/>
    <col min="49" max="49" width="11.453125" bestFit="1" customWidth="1"/>
    <col min="50" max="50" width="9.81640625" bestFit="1" customWidth="1"/>
    <col min="51" max="51" width="11.54296875" bestFit="1" customWidth="1"/>
    <col min="52" max="52" width="10.90625" bestFit="1" customWidth="1"/>
    <col min="53" max="53" width="14.1796875" bestFit="1" customWidth="1"/>
    <col min="54" max="54" width="15.6328125" bestFit="1" customWidth="1"/>
    <col min="55" max="55" width="10.81640625" bestFit="1" customWidth="1"/>
    <col min="56" max="56" width="10.08984375" bestFit="1" customWidth="1"/>
    <col min="57" max="57" width="11.453125" bestFit="1" customWidth="1"/>
    <col min="58" max="58" width="9.81640625" bestFit="1" customWidth="1"/>
    <col min="59" max="59" width="11.54296875" bestFit="1" customWidth="1"/>
    <col min="60" max="60" width="10.90625" bestFit="1" customWidth="1"/>
    <col min="61" max="61" width="14.1796875" bestFit="1" customWidth="1"/>
    <col min="62" max="62" width="15.6328125" bestFit="1" customWidth="1"/>
    <col min="63" max="63" width="10.81640625" bestFit="1" customWidth="1"/>
    <col min="64" max="64" width="10.08984375" bestFit="1" customWidth="1"/>
    <col min="65" max="65" width="11.453125" bestFit="1" customWidth="1"/>
    <col min="66" max="66" width="9.81640625" bestFit="1" customWidth="1"/>
    <col min="67" max="67" width="11.54296875" bestFit="1" customWidth="1"/>
    <col min="68" max="68" width="10.90625" bestFit="1" customWidth="1"/>
    <col min="69" max="69" width="14.1796875" bestFit="1" customWidth="1"/>
    <col min="70" max="70" width="15.6328125" bestFit="1" customWidth="1"/>
    <col min="71" max="71" width="10.81640625" bestFit="1" customWidth="1"/>
    <col min="72" max="72" width="10.08984375" bestFit="1" customWidth="1"/>
    <col min="73" max="73" width="11.453125" bestFit="1" customWidth="1"/>
    <col min="74" max="74" width="9.81640625" bestFit="1" customWidth="1"/>
    <col min="75" max="75" width="11.54296875" bestFit="1" customWidth="1"/>
    <col min="76" max="76" width="10.90625" bestFit="1" customWidth="1"/>
    <col min="77" max="77" width="14.1796875" bestFit="1" customWidth="1"/>
    <col min="78" max="78" width="15.6328125" bestFit="1" customWidth="1"/>
    <col min="79" max="79" width="10.81640625" bestFit="1" customWidth="1"/>
    <col min="80" max="80" width="10.08984375" bestFit="1" customWidth="1"/>
    <col min="81" max="81" width="11.453125" bestFit="1" customWidth="1"/>
    <col min="82" max="82" width="9.81640625" bestFit="1" customWidth="1"/>
    <col min="83" max="83" width="11.54296875" bestFit="1" customWidth="1"/>
    <col min="84" max="84" width="10.90625" bestFit="1" customWidth="1"/>
    <col min="85" max="85" width="14.1796875" bestFit="1" customWidth="1"/>
    <col min="86" max="86" width="15.6328125" bestFit="1" customWidth="1"/>
    <col min="87" max="87" width="10.81640625" bestFit="1" customWidth="1"/>
    <col min="88" max="88" width="10.08984375" bestFit="1" customWidth="1"/>
    <col min="89" max="89" width="11.453125" bestFit="1" customWidth="1"/>
    <col min="90" max="90" width="9.81640625" bestFit="1" customWidth="1"/>
    <col min="91" max="91" width="11.54296875" bestFit="1" customWidth="1"/>
    <col min="92" max="92" width="10.90625" bestFit="1" customWidth="1"/>
    <col min="93" max="93" width="14.1796875" bestFit="1" customWidth="1"/>
    <col min="94" max="94" width="15.6328125" bestFit="1" customWidth="1"/>
    <col min="95" max="95" width="10.81640625" bestFit="1" customWidth="1"/>
    <col min="96" max="96" width="10.08984375" bestFit="1" customWidth="1"/>
    <col min="97" max="97" width="11.453125" bestFit="1" customWidth="1"/>
    <col min="98" max="98" width="9.81640625" bestFit="1" customWidth="1"/>
    <col min="99" max="99" width="11.54296875" bestFit="1" customWidth="1"/>
    <col min="100" max="100" width="10.90625" bestFit="1" customWidth="1"/>
    <col min="101" max="101" width="14.1796875" bestFit="1" customWidth="1"/>
    <col min="102" max="102" width="15.6328125" bestFit="1" customWidth="1"/>
    <col min="103" max="103" width="10.81640625" bestFit="1" customWidth="1"/>
    <col min="104" max="104" width="10.08984375" bestFit="1" customWidth="1"/>
    <col min="105" max="105" width="11.453125" bestFit="1" customWidth="1"/>
    <col min="106" max="106" width="9.81640625" bestFit="1" customWidth="1"/>
    <col min="107" max="107" width="11.54296875" bestFit="1" customWidth="1"/>
    <col min="108" max="108" width="10.90625" bestFit="1" customWidth="1"/>
    <col min="109" max="109" width="14.1796875" bestFit="1" customWidth="1"/>
    <col min="110" max="110" width="15.6328125" bestFit="1" customWidth="1"/>
    <col min="111" max="111" width="11.7265625" bestFit="1" customWidth="1"/>
    <col min="112" max="112" width="10.08984375" bestFit="1" customWidth="1"/>
    <col min="113" max="113" width="11.453125" bestFit="1" customWidth="1"/>
    <col min="114" max="114" width="9.81640625" bestFit="1" customWidth="1"/>
    <col min="115" max="115" width="11.54296875" bestFit="1" customWidth="1"/>
    <col min="116" max="116" width="10.90625" bestFit="1" customWidth="1"/>
    <col min="117" max="117" width="14.1796875" bestFit="1" customWidth="1"/>
    <col min="118" max="118" width="16.6328125" bestFit="1" customWidth="1"/>
    <col min="119" max="119" width="11.36328125" bestFit="1" customWidth="1"/>
    <col min="120" max="120" width="10.08984375" bestFit="1" customWidth="1"/>
    <col min="121" max="121" width="11.453125" bestFit="1" customWidth="1"/>
    <col min="122" max="122" width="9.81640625" bestFit="1" customWidth="1"/>
    <col min="123" max="123" width="11.54296875" bestFit="1" customWidth="1"/>
    <col min="124" max="124" width="10.90625" bestFit="1" customWidth="1"/>
    <col min="125" max="125" width="14.1796875" bestFit="1" customWidth="1"/>
    <col min="126" max="126" width="16.36328125" bestFit="1" customWidth="1"/>
    <col min="127" max="127" width="11.7265625" bestFit="1" customWidth="1"/>
    <col min="128" max="128" width="10.08984375" bestFit="1" customWidth="1"/>
    <col min="129" max="129" width="11.453125" bestFit="1" customWidth="1"/>
    <col min="130" max="130" width="9.81640625" bestFit="1" customWidth="1"/>
    <col min="131" max="131" width="11.54296875" bestFit="1" customWidth="1"/>
    <col min="132" max="132" width="10.90625" bestFit="1" customWidth="1"/>
    <col min="133" max="133" width="14.1796875" bestFit="1" customWidth="1"/>
    <col min="134" max="134" width="16.6328125" bestFit="1" customWidth="1"/>
    <col min="135" max="135" width="11.7265625" bestFit="1" customWidth="1"/>
    <col min="136" max="136" width="10.08984375" bestFit="1" customWidth="1"/>
    <col min="137" max="137" width="11.453125" bestFit="1" customWidth="1"/>
    <col min="138" max="138" width="9.81640625" bestFit="1" customWidth="1"/>
    <col min="139" max="139" width="11.54296875" bestFit="1" customWidth="1"/>
    <col min="140" max="140" width="10.90625" bestFit="1" customWidth="1"/>
    <col min="141" max="141" width="14.1796875" bestFit="1" customWidth="1"/>
    <col min="142" max="142" width="16.6328125" bestFit="1" customWidth="1"/>
  </cols>
  <sheetData>
    <row r="1" spans="2:142" s="17" customFormat="1" ht="14.5" customHeight="1" x14ac:dyDescent="0.35">
      <c r="B1" s="43" t="s">
        <v>265</v>
      </c>
      <c r="C1" s="40"/>
      <c r="D1" s="40"/>
      <c r="E1" s="40"/>
      <c r="F1" s="40"/>
      <c r="G1" s="40"/>
      <c r="H1" s="37"/>
      <c r="I1" s="191" t="s">
        <v>266</v>
      </c>
      <c r="J1" s="191"/>
      <c r="K1" s="191"/>
      <c r="L1" s="191"/>
      <c r="M1" s="191"/>
      <c r="N1" s="191"/>
      <c r="O1" s="191"/>
      <c r="P1" s="191"/>
      <c r="Q1" s="191"/>
      <c r="R1" s="191"/>
      <c r="S1" s="191"/>
      <c r="T1" s="191"/>
      <c r="U1" s="191"/>
      <c r="V1" s="191"/>
      <c r="W1" s="191"/>
      <c r="X1" s="191"/>
      <c r="Y1" s="191"/>
      <c r="Z1" s="191"/>
      <c r="AA1" s="191"/>
      <c r="AB1" s="191"/>
      <c r="AC1" s="191"/>
      <c r="AD1" s="191"/>
      <c r="AE1" s="46"/>
      <c r="AF1" s="46"/>
      <c r="AG1" s="46"/>
      <c r="AH1" s="46"/>
    </row>
    <row r="2" spans="2:142" x14ac:dyDescent="0.35">
      <c r="CI2">
        <v>7</v>
      </c>
      <c r="CJ2">
        <v>8</v>
      </c>
      <c r="CK2">
        <v>9</v>
      </c>
      <c r="CL2">
        <v>10</v>
      </c>
      <c r="CM2">
        <v>11</v>
      </c>
      <c r="CN2">
        <v>12</v>
      </c>
      <c r="CO2">
        <v>13</v>
      </c>
    </row>
    <row r="3" spans="2:142" x14ac:dyDescent="0.35">
      <c r="B3" s="18" t="s">
        <v>39</v>
      </c>
      <c r="C3" t="s" vm="1">
        <v>334</v>
      </c>
      <c r="I3" s="18" t="s">
        <v>39</v>
      </c>
      <c r="J3" t="s" vm="1">
        <v>334</v>
      </c>
      <c r="AB3" t="s">
        <v>40</v>
      </c>
      <c r="AC3" t="s">
        <v>1</v>
      </c>
      <c r="AD3" t="s">
        <v>220</v>
      </c>
      <c r="AE3" t="s">
        <v>249</v>
      </c>
      <c r="AF3" t="s">
        <v>217</v>
      </c>
      <c r="AG3" t="s">
        <v>218</v>
      </c>
      <c r="AH3" t="s">
        <v>252</v>
      </c>
      <c r="AI3" t="s">
        <v>251</v>
      </c>
      <c r="AL3" s="18" t="s">
        <v>39</v>
      </c>
      <c r="AM3" t="s" vm="1">
        <v>334</v>
      </c>
      <c r="CI3" t="s">
        <v>236</v>
      </c>
      <c r="CJ3" t="s">
        <v>237</v>
      </c>
      <c r="CK3" t="s">
        <v>238</v>
      </c>
      <c r="CL3" t="s">
        <v>239</v>
      </c>
      <c r="CM3" t="s">
        <v>240</v>
      </c>
      <c r="CN3" t="s">
        <v>241</v>
      </c>
      <c r="CO3" t="s">
        <v>242</v>
      </c>
    </row>
    <row r="4" spans="2:142" x14ac:dyDescent="0.35">
      <c r="AA4" s="41" t="s">
        <v>42</v>
      </c>
      <c r="AB4" s="3">
        <f>(VLOOKUP($AA4,$I$8:$Y$1048576,17,FALSE)/VLOOKUP($AA4,$I$8:$Y$1048576,16,FALSE))</f>
        <v>0.92959391552356374</v>
      </c>
      <c r="AC4" s="3">
        <f>(VLOOKUP($AA4,$I$8:$Y$1048576,5,FALSE)/VLOOKUP($AA4,$I$8:$Y$1048576,4,FALSE))</f>
        <v>0.93637481099544217</v>
      </c>
      <c r="AD4" s="3">
        <f>(VLOOKUP($AA4,$I$8:$Y$1048576,7,FALSE)/VLOOKUP($AA4,$I$8:$Y$1048576,6,FALSE))</f>
        <v>0.93630648796109595</v>
      </c>
      <c r="AE4" s="3">
        <f>(VLOOKUP($AA4,$I$8:$Y$1048576,9,FALSE)/VLOOKUP($AA4,$I$8:$Y$1048576,8,FALSE))</f>
        <v>0.90980566681501263</v>
      </c>
      <c r="AF4" s="3">
        <f>(VLOOKUP($AA4,$I$8:$Y$1048576,13,FALSE)/VLOOKUP($AA4,$I$8:$Y$1048576,12,FALSE))</f>
        <v>0.93899288104920031</v>
      </c>
      <c r="AG4" s="3">
        <f>(VLOOKUP($AA4,$I$8:$Y$1048576,15,FALSE)/VLOOKUP($AA4,$I$8:$Y$1048576,14,FALSE))</f>
        <v>0.94603967670830269</v>
      </c>
      <c r="AH4" s="3">
        <f>(VLOOKUP($AA4,$I$8:$Y$1048576,3,FALSE)/VLOOKUP($AA4,$I$8:$Y$1048576,2,FALSE))</f>
        <v>0.92903487997309375</v>
      </c>
      <c r="AI4" s="3">
        <f>(VLOOKUP($AA4,$I$8:$Y$1048576,11,FALSE)/VLOOKUP($AA4,$I$8:$Y$1048576,10,FALSE))</f>
        <v>0.91796474635438341</v>
      </c>
      <c r="AJ4" s="3"/>
      <c r="CA4" t="s">
        <v>47</v>
      </c>
      <c r="CB4" t="s">
        <v>47</v>
      </c>
      <c r="CC4" t="s">
        <v>47</v>
      </c>
      <c r="CD4" t="s">
        <v>47</v>
      </c>
      <c r="CE4" t="s">
        <v>47</v>
      </c>
      <c r="CF4" t="s">
        <v>47</v>
      </c>
      <c r="CG4" t="s">
        <v>47</v>
      </c>
      <c r="CH4" s="17" t="s">
        <v>228</v>
      </c>
      <c r="CI4" t="s">
        <v>48</v>
      </c>
      <c r="CJ4" t="s">
        <v>48</v>
      </c>
      <c r="CK4" t="s">
        <v>48</v>
      </c>
      <c r="CL4" t="s">
        <v>48</v>
      </c>
      <c r="CM4" t="s">
        <v>48</v>
      </c>
      <c r="CN4" t="s">
        <v>48</v>
      </c>
      <c r="CO4" t="s">
        <v>48</v>
      </c>
      <c r="CP4" s="17" t="s">
        <v>229</v>
      </c>
      <c r="CQ4" t="s">
        <v>49</v>
      </c>
      <c r="CR4" t="s">
        <v>49</v>
      </c>
      <c r="CS4" t="s">
        <v>49</v>
      </c>
      <c r="CT4" t="s">
        <v>49</v>
      </c>
      <c r="CU4" t="s">
        <v>49</v>
      </c>
      <c r="CV4" t="s">
        <v>49</v>
      </c>
      <c r="CW4" t="s">
        <v>49</v>
      </c>
      <c r="CX4" s="17" t="s">
        <v>230</v>
      </c>
      <c r="CY4" t="s">
        <v>50</v>
      </c>
      <c r="CZ4" t="s">
        <v>50</v>
      </c>
      <c r="DA4" t="s">
        <v>50</v>
      </c>
      <c r="DB4" t="s">
        <v>50</v>
      </c>
      <c r="DC4" t="s">
        <v>50</v>
      </c>
      <c r="DD4" t="s">
        <v>50</v>
      </c>
      <c r="DE4" t="s">
        <v>50</v>
      </c>
      <c r="DF4" s="17" t="s">
        <v>231</v>
      </c>
      <c r="DG4" t="s">
        <v>227</v>
      </c>
      <c r="DH4" t="s">
        <v>227</v>
      </c>
      <c r="DI4" t="s">
        <v>51</v>
      </c>
      <c r="DJ4" t="s">
        <v>51</v>
      </c>
      <c r="DK4" t="s">
        <v>51</v>
      </c>
      <c r="DL4" t="s">
        <v>51</v>
      </c>
      <c r="DM4" t="s">
        <v>51</v>
      </c>
      <c r="DN4" s="17" t="s">
        <v>232</v>
      </c>
      <c r="DO4" t="s">
        <v>52</v>
      </c>
      <c r="DP4" t="s">
        <v>52</v>
      </c>
      <c r="DQ4" t="s">
        <v>52</v>
      </c>
      <c r="DR4" t="s">
        <v>52</v>
      </c>
      <c r="DS4" t="s">
        <v>52</v>
      </c>
      <c r="DT4" t="s">
        <v>52</v>
      </c>
      <c r="DU4" t="s">
        <v>52</v>
      </c>
      <c r="DV4" s="17" t="s">
        <v>233</v>
      </c>
      <c r="DW4" t="s">
        <v>53</v>
      </c>
      <c r="DX4" t="s">
        <v>53</v>
      </c>
      <c r="DY4" t="s">
        <v>53</v>
      </c>
      <c r="DZ4" t="s">
        <v>53</v>
      </c>
      <c r="EA4" t="s">
        <v>53</v>
      </c>
      <c r="EB4" t="s">
        <v>53</v>
      </c>
      <c r="EC4" t="s">
        <v>53</v>
      </c>
      <c r="ED4" s="17" t="s">
        <v>234</v>
      </c>
      <c r="EE4" t="s">
        <v>54</v>
      </c>
      <c r="EF4" t="s">
        <v>54</v>
      </c>
      <c r="EG4" t="s">
        <v>54</v>
      </c>
      <c r="EH4" t="s">
        <v>54</v>
      </c>
      <c r="EI4" t="s">
        <v>54</v>
      </c>
      <c r="EJ4" t="s">
        <v>54</v>
      </c>
      <c r="EK4" t="s">
        <v>54</v>
      </c>
      <c r="EL4" s="17" t="s">
        <v>235</v>
      </c>
    </row>
    <row r="5" spans="2:142" x14ac:dyDescent="0.35">
      <c r="B5" s="18" t="s">
        <v>37</v>
      </c>
      <c r="C5" t="s">
        <v>57</v>
      </c>
      <c r="D5" t="s">
        <v>59</v>
      </c>
      <c r="H5" s="3"/>
      <c r="J5" s="18" t="s">
        <v>41</v>
      </c>
      <c r="Z5" s="3"/>
      <c r="AA5" s="41" t="s">
        <v>43</v>
      </c>
      <c r="AB5" s="3">
        <f t="shared" ref="AB5:AB15" si="0">(VLOOKUP($AA5,$I$8:$Y$1048576,17,FALSE)/VLOOKUP($AA5,$I$8:$Y$1048576,16,FALSE))</f>
        <v>0.93463182126907607</v>
      </c>
      <c r="AC5" s="3">
        <f t="shared" ref="AC5:AC16" si="1">(VLOOKUP($AA5,$I$8:$Y$1048576,5,FALSE)/VLOOKUP($AA5,$I$8:$Y$1048576,4,FALSE))</f>
        <v>0.94012191531356659</v>
      </c>
      <c r="AD5" s="3">
        <f t="shared" ref="AD5:AD16" si="2">(VLOOKUP($AA5,$I$8:$Y$1048576,7,FALSE)/VLOOKUP($AA5,$I$8:$Y$1048576,6,FALSE))</f>
        <v>0.93935029478099152</v>
      </c>
      <c r="AE5" s="3">
        <f t="shared" ref="AE5:AE16" si="3">(VLOOKUP($AA5,$I$8:$Y$1048576,9,FALSE)/VLOOKUP($AA5,$I$8:$Y$1048576,8,FALSE))</f>
        <v>0.91892496429738979</v>
      </c>
      <c r="AF5" s="3">
        <f t="shared" ref="AF5:AF16" si="4">(VLOOKUP($AA5,$I$8:$Y$1048576,13,FALSE)/VLOOKUP($AA5,$I$8:$Y$1048576,12,FALSE))</f>
        <v>0.94417681140550747</v>
      </c>
      <c r="AG5" s="3">
        <f t="shared" ref="AG5:AG16" si="5">(VLOOKUP($AA5,$I$8:$Y$1048576,15,FALSE)/VLOOKUP($AA5,$I$8:$Y$1048576,14,FALSE))</f>
        <v>0.94727587116438561</v>
      </c>
      <c r="AH5" s="3">
        <f t="shared" ref="AH5:AH16" si="6">(VLOOKUP($AA5,$I$8:$Y$1048576,3,FALSE)/VLOOKUP($AA5,$I$8:$Y$1048576,2,FALSE))</f>
        <v>0.93298344771901498</v>
      </c>
      <c r="AI5" s="3">
        <f t="shared" ref="AI5:AI16" si="7">(VLOOKUP($AA5,$I$8:$Y$1048576,11,FALSE)/VLOOKUP($AA5,$I$8:$Y$1048576,10,FALSE))</f>
        <v>0.92555460104098242</v>
      </c>
      <c r="AL5" s="18" t="s">
        <v>196</v>
      </c>
      <c r="AM5" s="18" t="s">
        <v>41</v>
      </c>
    </row>
    <row r="6" spans="2:142" x14ac:dyDescent="0.35">
      <c r="B6" s="19">
        <v>1</v>
      </c>
      <c r="C6" s="2">
        <v>662670</v>
      </c>
      <c r="D6" s="2">
        <v>616014</v>
      </c>
      <c r="E6" s="3"/>
      <c r="F6" s="3">
        <f>D6/C6</f>
        <v>0.92959391552356374</v>
      </c>
      <c r="G6" s="3"/>
      <c r="H6" s="3"/>
      <c r="J6" t="s">
        <v>282</v>
      </c>
      <c r="L6" t="s">
        <v>1</v>
      </c>
      <c r="N6" t="s">
        <v>220</v>
      </c>
      <c r="P6" t="s">
        <v>253</v>
      </c>
      <c r="R6" t="s">
        <v>250</v>
      </c>
      <c r="T6" t="s">
        <v>217</v>
      </c>
      <c r="V6" t="s">
        <v>218</v>
      </c>
      <c r="X6" t="s">
        <v>56</v>
      </c>
      <c r="Y6" t="s">
        <v>58</v>
      </c>
      <c r="Z6" s="3"/>
      <c r="AA6" s="41" t="s">
        <v>44</v>
      </c>
      <c r="AB6" s="3">
        <f t="shared" si="0"/>
        <v>0.92344446500488186</v>
      </c>
      <c r="AC6" s="3">
        <f t="shared" si="1"/>
        <v>0.93142521585941407</v>
      </c>
      <c r="AD6" s="3">
        <f t="shared" si="2"/>
        <v>0.92429921384896374</v>
      </c>
      <c r="AE6" s="3">
        <f t="shared" si="3"/>
        <v>0.9031933207092443</v>
      </c>
      <c r="AF6" s="3">
        <f t="shared" si="4"/>
        <v>0.93061237777946582</v>
      </c>
      <c r="AG6" s="3">
        <f t="shared" si="5"/>
        <v>0.94577859222368366</v>
      </c>
      <c r="AH6" s="3">
        <f t="shared" si="6"/>
        <v>0.92578689800912028</v>
      </c>
      <c r="AI6" s="3">
        <f t="shared" si="7"/>
        <v>0.91506142878810859</v>
      </c>
      <c r="AM6" t="s">
        <v>42</v>
      </c>
      <c r="AT6" t="s">
        <v>195</v>
      </c>
      <c r="AU6" t="s">
        <v>43</v>
      </c>
      <c r="BB6" t="s">
        <v>362</v>
      </c>
      <c r="BC6" t="s">
        <v>44</v>
      </c>
      <c r="BJ6" t="s">
        <v>363</v>
      </c>
      <c r="BK6" t="s">
        <v>45</v>
      </c>
      <c r="BR6" t="s">
        <v>364</v>
      </c>
      <c r="BS6" t="s">
        <v>46</v>
      </c>
      <c r="BZ6" t="s">
        <v>365</v>
      </c>
      <c r="CA6" t="s">
        <v>47</v>
      </c>
      <c r="CH6" t="s">
        <v>366</v>
      </c>
      <c r="CI6" t="s">
        <v>48</v>
      </c>
      <c r="CP6" t="s">
        <v>371</v>
      </c>
      <c r="CQ6" t="s">
        <v>49</v>
      </c>
      <c r="CX6" t="s">
        <v>372</v>
      </c>
      <c r="CY6" t="s">
        <v>50</v>
      </c>
      <c r="DF6" t="s">
        <v>378</v>
      </c>
      <c r="DG6" t="s">
        <v>51</v>
      </c>
      <c r="DN6" t="s">
        <v>379</v>
      </c>
      <c r="DO6" t="s">
        <v>52</v>
      </c>
      <c r="DV6" t="s">
        <v>380</v>
      </c>
      <c r="DW6" t="s">
        <v>53</v>
      </c>
      <c r="ED6" t="s">
        <v>381</v>
      </c>
      <c r="EE6" t="s">
        <v>54</v>
      </c>
      <c r="EL6" t="s">
        <v>382</v>
      </c>
    </row>
    <row r="7" spans="2:142" x14ac:dyDescent="0.35">
      <c r="B7" s="19">
        <v>2</v>
      </c>
      <c r="C7" s="2">
        <v>665492</v>
      </c>
      <c r="D7" s="2">
        <v>621990</v>
      </c>
      <c r="E7" s="3"/>
      <c r="F7" s="3">
        <f>D7/C7</f>
        <v>0.93463182126907607</v>
      </c>
      <c r="G7" s="3"/>
      <c r="H7" s="3"/>
      <c r="I7" s="18" t="s">
        <v>37</v>
      </c>
      <c r="J7" t="s">
        <v>57</v>
      </c>
      <c r="K7" t="s">
        <v>59</v>
      </c>
      <c r="L7" t="s">
        <v>57</v>
      </c>
      <c r="M7" t="s">
        <v>59</v>
      </c>
      <c r="N7" t="s">
        <v>57</v>
      </c>
      <c r="O7" t="s">
        <v>59</v>
      </c>
      <c r="P7" t="s">
        <v>57</v>
      </c>
      <c r="Q7" t="s">
        <v>59</v>
      </c>
      <c r="R7" t="s">
        <v>57</v>
      </c>
      <c r="S7" t="s">
        <v>59</v>
      </c>
      <c r="T7" t="s">
        <v>57</v>
      </c>
      <c r="U7" t="s">
        <v>59</v>
      </c>
      <c r="V7" t="s">
        <v>57</v>
      </c>
      <c r="W7" t="s">
        <v>59</v>
      </c>
      <c r="Z7" s="3"/>
      <c r="AA7" s="41" t="s">
        <v>45</v>
      </c>
      <c r="AB7" s="3">
        <f t="shared" si="0"/>
        <v>0.86290068538188403</v>
      </c>
      <c r="AC7" s="3">
        <f t="shared" si="1"/>
        <v>0.88060113513394134</v>
      </c>
      <c r="AD7" s="3">
        <f t="shared" si="2"/>
        <v>0.86353908537959001</v>
      </c>
      <c r="AE7" s="3">
        <f t="shared" si="3"/>
        <v>0.83174416254361061</v>
      </c>
      <c r="AF7" s="3">
        <f t="shared" si="4"/>
        <v>0.87665252071899924</v>
      </c>
      <c r="AG7" s="3">
        <f t="shared" si="5"/>
        <v>0.88979480907732034</v>
      </c>
      <c r="AH7" s="3">
        <f t="shared" si="6"/>
        <v>0.86236227103656393</v>
      </c>
      <c r="AI7" s="3">
        <f t="shared" si="7"/>
        <v>0.85147279847045709</v>
      </c>
      <c r="AL7" s="18" t="s">
        <v>37</v>
      </c>
      <c r="AM7" t="s">
        <v>188</v>
      </c>
      <c r="AN7" t="s">
        <v>189</v>
      </c>
      <c r="AO7" t="s">
        <v>190</v>
      </c>
      <c r="AP7" t="s">
        <v>191</v>
      </c>
      <c r="AQ7" t="s">
        <v>192</v>
      </c>
      <c r="AR7" t="s">
        <v>193</v>
      </c>
      <c r="AS7" t="s">
        <v>194</v>
      </c>
      <c r="AU7" t="s">
        <v>188</v>
      </c>
      <c r="AV7" t="s">
        <v>189</v>
      </c>
      <c r="AW7" t="s">
        <v>190</v>
      </c>
      <c r="AX7" t="s">
        <v>191</v>
      </c>
      <c r="AY7" t="s">
        <v>192</v>
      </c>
      <c r="AZ7" t="s">
        <v>193</v>
      </c>
      <c r="BA7" t="s">
        <v>194</v>
      </c>
      <c r="BC7" t="s">
        <v>188</v>
      </c>
      <c r="BD7" t="s">
        <v>189</v>
      </c>
      <c r="BE7" t="s">
        <v>190</v>
      </c>
      <c r="BF7" t="s">
        <v>191</v>
      </c>
      <c r="BG7" t="s">
        <v>192</v>
      </c>
      <c r="BH7" t="s">
        <v>193</v>
      </c>
      <c r="BI7" t="s">
        <v>194</v>
      </c>
      <c r="BK7" t="s">
        <v>188</v>
      </c>
      <c r="BL7" t="s">
        <v>189</v>
      </c>
      <c r="BM7" t="s">
        <v>190</v>
      </c>
      <c r="BN7" t="s">
        <v>191</v>
      </c>
      <c r="BO7" t="s">
        <v>192</v>
      </c>
      <c r="BP7" t="s">
        <v>193</v>
      </c>
      <c r="BQ7" t="s">
        <v>194</v>
      </c>
      <c r="BS7" t="s">
        <v>188</v>
      </c>
      <c r="BT7" t="s">
        <v>189</v>
      </c>
      <c r="BU7" t="s">
        <v>190</v>
      </c>
      <c r="BV7" t="s">
        <v>191</v>
      </c>
      <c r="BW7" t="s">
        <v>192</v>
      </c>
      <c r="BX7" t="s">
        <v>193</v>
      </c>
      <c r="BY7" t="s">
        <v>194</v>
      </c>
      <c r="CA7" t="s">
        <v>188</v>
      </c>
      <c r="CB7" t="s">
        <v>189</v>
      </c>
      <c r="CC7" t="s">
        <v>190</v>
      </c>
      <c r="CD7" t="s">
        <v>191</v>
      </c>
      <c r="CE7" t="s">
        <v>192</v>
      </c>
      <c r="CF7" t="s">
        <v>193</v>
      </c>
      <c r="CG7" t="s">
        <v>194</v>
      </c>
      <c r="CI7" t="s">
        <v>188</v>
      </c>
      <c r="CJ7" t="s">
        <v>189</v>
      </c>
      <c r="CK7" t="s">
        <v>190</v>
      </c>
      <c r="CL7" t="s">
        <v>191</v>
      </c>
      <c r="CM7" t="s">
        <v>192</v>
      </c>
      <c r="CN7" t="s">
        <v>193</v>
      </c>
      <c r="CO7" t="s">
        <v>194</v>
      </c>
      <c r="CQ7" t="s">
        <v>188</v>
      </c>
      <c r="CR7" t="s">
        <v>189</v>
      </c>
      <c r="CS7" t="s">
        <v>190</v>
      </c>
      <c r="CT7" t="s">
        <v>191</v>
      </c>
      <c r="CU7" t="s">
        <v>192</v>
      </c>
      <c r="CV7" t="s">
        <v>193</v>
      </c>
      <c r="CW7" t="s">
        <v>194</v>
      </c>
      <c r="CY7" t="s">
        <v>188</v>
      </c>
      <c r="CZ7" t="s">
        <v>189</v>
      </c>
      <c r="DA7" t="s">
        <v>190</v>
      </c>
      <c r="DB7" t="s">
        <v>191</v>
      </c>
      <c r="DC7" t="s">
        <v>192</v>
      </c>
      <c r="DD7" t="s">
        <v>193</v>
      </c>
      <c r="DE7" t="s">
        <v>194</v>
      </c>
      <c r="DG7" t="s">
        <v>188</v>
      </c>
      <c r="DH7" t="s">
        <v>189</v>
      </c>
      <c r="DI7" t="s">
        <v>190</v>
      </c>
      <c r="DJ7" t="s">
        <v>191</v>
      </c>
      <c r="DK7" t="s">
        <v>192</v>
      </c>
      <c r="DL7" t="s">
        <v>193</v>
      </c>
      <c r="DM7" t="s">
        <v>194</v>
      </c>
      <c r="DO7" t="s">
        <v>188</v>
      </c>
      <c r="DP7" t="s">
        <v>189</v>
      </c>
      <c r="DQ7" t="s">
        <v>190</v>
      </c>
      <c r="DR7" t="s">
        <v>191</v>
      </c>
      <c r="DS7" t="s">
        <v>192</v>
      </c>
      <c r="DT7" t="s">
        <v>193</v>
      </c>
      <c r="DU7" t="s">
        <v>194</v>
      </c>
      <c r="DW7" t="s">
        <v>188</v>
      </c>
      <c r="DX7" t="s">
        <v>189</v>
      </c>
      <c r="DY7" t="s">
        <v>190</v>
      </c>
      <c r="DZ7" t="s">
        <v>191</v>
      </c>
      <c r="EA7" t="s">
        <v>192</v>
      </c>
      <c r="EB7" t="s">
        <v>193</v>
      </c>
      <c r="EC7" t="s">
        <v>194</v>
      </c>
      <c r="EE7" t="s">
        <v>188</v>
      </c>
      <c r="EF7" t="s">
        <v>189</v>
      </c>
      <c r="EG7" t="s">
        <v>190</v>
      </c>
      <c r="EH7" t="s">
        <v>191</v>
      </c>
      <c r="EI7" t="s">
        <v>192</v>
      </c>
      <c r="EJ7" t="s">
        <v>193</v>
      </c>
      <c r="EK7" t="s">
        <v>194</v>
      </c>
    </row>
    <row r="8" spans="2:142" x14ac:dyDescent="0.35">
      <c r="B8" s="19">
        <v>3</v>
      </c>
      <c r="C8" s="2">
        <v>664707</v>
      </c>
      <c r="D8" s="2">
        <v>613820</v>
      </c>
      <c r="E8" s="3"/>
      <c r="F8" s="3">
        <f>D8/C8</f>
        <v>0.92344446500488186</v>
      </c>
      <c r="G8" s="3"/>
      <c r="H8" s="3"/>
      <c r="I8" s="19" t="s">
        <v>42</v>
      </c>
      <c r="J8" s="2">
        <v>71359</v>
      </c>
      <c r="K8" s="2">
        <v>66295</v>
      </c>
      <c r="L8" s="2">
        <v>91929</v>
      </c>
      <c r="M8" s="2">
        <v>86080</v>
      </c>
      <c r="N8" s="2">
        <v>126465</v>
      </c>
      <c r="O8" s="2">
        <v>118410</v>
      </c>
      <c r="P8" s="2">
        <v>114597</v>
      </c>
      <c r="Q8" s="2">
        <v>104261</v>
      </c>
      <c r="R8" s="2">
        <v>98543</v>
      </c>
      <c r="S8" s="2">
        <v>90459</v>
      </c>
      <c r="T8" s="2">
        <v>91727</v>
      </c>
      <c r="U8" s="2">
        <v>86131</v>
      </c>
      <c r="V8" s="2">
        <v>68050</v>
      </c>
      <c r="W8" s="2">
        <v>64378</v>
      </c>
      <c r="X8" s="2">
        <v>662670</v>
      </c>
      <c r="Y8" s="2">
        <v>616014</v>
      </c>
      <c r="Z8" s="3"/>
      <c r="AA8" s="41" t="s">
        <v>46</v>
      </c>
      <c r="AB8" s="3">
        <f t="shared" si="0"/>
        <v>0.88462696333068125</v>
      </c>
      <c r="AC8" s="3">
        <f t="shared" si="1"/>
        <v>0.8894215725716329</v>
      </c>
      <c r="AD8" s="3">
        <f t="shared" si="2"/>
        <v>0.88424398487165046</v>
      </c>
      <c r="AE8" s="3">
        <f t="shared" si="3"/>
        <v>0.85776147177366013</v>
      </c>
      <c r="AF8" s="3">
        <f t="shared" si="4"/>
        <v>0.90134947520408726</v>
      </c>
      <c r="AG8" s="3">
        <f t="shared" si="5"/>
        <v>0.91503879713776759</v>
      </c>
      <c r="AH8" s="3">
        <f t="shared" si="6"/>
        <v>0.88803995642146671</v>
      </c>
      <c r="AI8" s="3">
        <f t="shared" si="7"/>
        <v>0.87331772664927243</v>
      </c>
      <c r="AL8" s="19" t="s">
        <v>63</v>
      </c>
      <c r="AM8" s="31">
        <v>0.92500000000000004</v>
      </c>
      <c r="AN8" s="31">
        <v>0.93939393939393945</v>
      </c>
      <c r="AO8" s="31">
        <v>0.91803278688524592</v>
      </c>
      <c r="AP8" s="31">
        <v>0.90243902439024393</v>
      </c>
      <c r="AQ8" s="31">
        <v>0.95912806539509532</v>
      </c>
      <c r="AR8" s="31">
        <v>0.92561983471074383</v>
      </c>
      <c r="AS8" s="31">
        <v>0.97520661157024791</v>
      </c>
      <c r="AT8" s="31">
        <v>0.93497432319221663</v>
      </c>
      <c r="AU8" s="31">
        <v>0.98022598870056499</v>
      </c>
      <c r="AV8" s="31">
        <v>0.92328767123287669</v>
      </c>
      <c r="AW8" s="31">
        <v>0.952247191011236</v>
      </c>
      <c r="AX8" s="31">
        <v>0.94117647058823528</v>
      </c>
      <c r="AY8" s="31">
        <v>0.95108695652173914</v>
      </c>
      <c r="AZ8" s="31">
        <v>0.93442622950819676</v>
      </c>
      <c r="BA8" s="31">
        <v>0.94246575342465755</v>
      </c>
      <c r="BB8" s="31">
        <v>0.94641660871250088</v>
      </c>
      <c r="BC8" s="31">
        <v>0.9467787114845938</v>
      </c>
      <c r="BD8" s="31">
        <v>0.95567867036011078</v>
      </c>
      <c r="BE8" s="31">
        <v>0.91477272727272729</v>
      </c>
      <c r="BF8" s="31">
        <v>0.89714285714285713</v>
      </c>
      <c r="BG8" s="31">
        <v>0.9634831460674157</v>
      </c>
      <c r="BH8" s="31">
        <v>0.9578651685393258</v>
      </c>
      <c r="BI8" s="31">
        <v>0.9555555555555556</v>
      </c>
      <c r="BJ8" s="31">
        <v>0.94161097663179805</v>
      </c>
      <c r="BK8" s="31">
        <v>0.83965014577259478</v>
      </c>
      <c r="BL8" s="31">
        <v>0.9152542372881356</v>
      </c>
      <c r="BM8" s="31">
        <v>0.76315789473684215</v>
      </c>
      <c r="BN8" s="31">
        <v>0.78654970760233922</v>
      </c>
      <c r="BO8" s="31">
        <v>0.90144927536231889</v>
      </c>
      <c r="BP8" s="31">
        <v>0.94084507042253518</v>
      </c>
      <c r="BQ8" s="31">
        <v>0.94871794871794868</v>
      </c>
      <c r="BR8" s="31">
        <v>0.87080346855753077</v>
      </c>
      <c r="BS8" s="31">
        <v>0.90909090909090906</v>
      </c>
      <c r="BT8" s="31">
        <v>0.84104046242774566</v>
      </c>
      <c r="BU8" s="31">
        <v>0.91340782122905029</v>
      </c>
      <c r="BV8" s="31">
        <v>0.88980716253443526</v>
      </c>
      <c r="BW8" s="31">
        <v>0.92500000000000004</v>
      </c>
      <c r="BX8" s="31">
        <v>0.8960674157303371</v>
      </c>
      <c r="BY8" s="31">
        <v>0.9269662921348315</v>
      </c>
      <c r="BZ8" s="31">
        <v>0.90019715187818694</v>
      </c>
      <c r="CA8" s="31">
        <v>0.9366391184573003</v>
      </c>
      <c r="CB8" s="31">
        <v>0.8966480446927374</v>
      </c>
      <c r="CC8" s="31">
        <v>0.9185393258426966</v>
      </c>
      <c r="CD8" s="31">
        <v>0.89635854341736698</v>
      </c>
      <c r="CE8" s="31">
        <v>0.96457765667574935</v>
      </c>
      <c r="CF8" s="31">
        <v>0.94444444444444442</v>
      </c>
      <c r="CG8" s="31">
        <v>0.96739130434782605</v>
      </c>
      <c r="CH8" s="31">
        <v>0.93208549112544603</v>
      </c>
      <c r="CI8" s="31">
        <v>0.89136490250696376</v>
      </c>
      <c r="CJ8" s="31">
        <v>0.93351800554016617</v>
      </c>
      <c r="CK8" s="31">
        <v>0.83286908077994426</v>
      </c>
      <c r="CL8" s="31">
        <v>0.86703601108033246</v>
      </c>
      <c r="CM8" s="31">
        <v>0.86592178770949724</v>
      </c>
      <c r="CN8" s="31">
        <v>0.91388888888888886</v>
      </c>
      <c r="CO8" s="31">
        <v>0.8666666666666667</v>
      </c>
      <c r="CP8" s="31">
        <v>0.88160933473892278</v>
      </c>
      <c r="CQ8" s="31">
        <v>0.96703296703296704</v>
      </c>
      <c r="CR8" s="31">
        <v>0.92286501377410468</v>
      </c>
      <c r="CS8" s="31">
        <v>0.89807162534435259</v>
      </c>
      <c r="CT8" s="31">
        <v>0.89010989010989006</v>
      </c>
      <c r="CU8" s="31">
        <v>0.94780219780219777</v>
      </c>
      <c r="CV8" s="31">
        <v>0.95013850415512469</v>
      </c>
      <c r="CW8" s="31">
        <v>0.95867768595041325</v>
      </c>
      <c r="CX8" s="31">
        <v>0.93352826916700715</v>
      </c>
      <c r="CY8" s="31">
        <v>0.91280653950953683</v>
      </c>
      <c r="CZ8" s="31">
        <v>0.91160220994475138</v>
      </c>
      <c r="DA8" s="31">
        <v>0.88121546961325969</v>
      </c>
      <c r="DB8" s="31">
        <v>0.86149584487534625</v>
      </c>
      <c r="DC8" s="31">
        <v>0.93575418994413406</v>
      </c>
      <c r="DD8" s="31">
        <v>0.9699453551912568</v>
      </c>
      <c r="DE8" s="31">
        <v>0.92777777777777781</v>
      </c>
      <c r="DF8" s="31">
        <v>0.91437105526515183</v>
      </c>
      <c r="DG8" s="31">
        <v>0.93593314763231195</v>
      </c>
      <c r="DH8" s="31">
        <v>0.88705234159779611</v>
      </c>
      <c r="DI8" s="31">
        <v>0.92797783933518008</v>
      </c>
      <c r="DJ8" s="31">
        <v>0.90909090909090906</v>
      </c>
      <c r="DK8" s="31">
        <v>0.94765840220385678</v>
      </c>
      <c r="DL8" s="31">
        <v>0.92432432432432432</v>
      </c>
      <c r="DM8" s="31">
        <v>0.94293478260869568</v>
      </c>
      <c r="DN8" s="31">
        <v>0.92499596382758198</v>
      </c>
      <c r="DO8" s="31">
        <v>0.91549295774647887</v>
      </c>
      <c r="DP8" s="31">
        <v>0.92953929539295388</v>
      </c>
      <c r="DQ8" s="31">
        <v>0.88135593220338981</v>
      </c>
      <c r="DR8" s="31">
        <v>0.8923512747875354</v>
      </c>
      <c r="DS8" s="31">
        <v>0.91364902506963785</v>
      </c>
      <c r="DT8" s="31">
        <v>0.93922651933701662</v>
      </c>
      <c r="DU8" s="31">
        <v>0.92655367231638419</v>
      </c>
      <c r="DV8" s="31">
        <v>0.9140240966933425</v>
      </c>
      <c r="DW8" s="31">
        <v>0.92777777777777781</v>
      </c>
      <c r="DX8" s="31">
        <v>0.92200557103064062</v>
      </c>
      <c r="DY8" s="31">
        <v>0.88571428571428568</v>
      </c>
      <c r="DZ8" s="31">
        <v>0.86402266288951846</v>
      </c>
      <c r="EA8" s="31">
        <v>0.93888888888888888</v>
      </c>
      <c r="EB8" s="31">
        <v>0.92602739726027394</v>
      </c>
      <c r="EC8" s="31">
        <v>0.94277929155313356</v>
      </c>
      <c r="ED8" s="31">
        <v>0.91531655358778852</v>
      </c>
      <c r="EE8" s="31">
        <v>0.90476190476190477</v>
      </c>
      <c r="EF8" s="31">
        <v>0.901685393258427</v>
      </c>
      <c r="EG8" s="31">
        <v>0.91620111731843579</v>
      </c>
      <c r="EH8" s="31">
        <v>0.91036414565826329</v>
      </c>
      <c r="EI8" s="31">
        <v>0.87394957983193278</v>
      </c>
      <c r="EJ8" s="31">
        <v>0.94397759103641454</v>
      </c>
      <c r="EK8" s="31">
        <v>0.94692737430167595</v>
      </c>
      <c r="EL8" s="31">
        <v>0.91398101516672203</v>
      </c>
    </row>
    <row r="9" spans="2:142" x14ac:dyDescent="0.35">
      <c r="B9" s="19">
        <v>4</v>
      </c>
      <c r="C9" s="2">
        <v>653942</v>
      </c>
      <c r="D9" s="2">
        <v>564287</v>
      </c>
      <c r="E9" s="3"/>
      <c r="F9" s="3">
        <f t="shared" ref="F9:F20" si="8">D9/C9</f>
        <v>0.86290068538188403</v>
      </c>
      <c r="G9" s="3"/>
      <c r="H9" s="3"/>
      <c r="I9" s="19" t="s">
        <v>51</v>
      </c>
      <c r="J9" s="2">
        <v>72185</v>
      </c>
      <c r="K9" s="2">
        <v>66431</v>
      </c>
      <c r="L9" s="2">
        <v>93893</v>
      </c>
      <c r="M9" s="2">
        <v>87466</v>
      </c>
      <c r="N9" s="2">
        <v>128230</v>
      </c>
      <c r="O9" s="2">
        <v>119085</v>
      </c>
      <c r="P9" s="2">
        <v>116075</v>
      </c>
      <c r="Q9" s="2">
        <v>106013</v>
      </c>
      <c r="R9" s="2">
        <v>98607</v>
      </c>
      <c r="S9" s="2">
        <v>91113</v>
      </c>
      <c r="T9" s="2">
        <v>92590</v>
      </c>
      <c r="U9" s="2">
        <v>86349</v>
      </c>
      <c r="V9" s="2">
        <v>68652</v>
      </c>
      <c r="W9" s="2">
        <v>65429</v>
      </c>
      <c r="X9" s="2">
        <v>670232</v>
      </c>
      <c r="Y9" s="2">
        <v>621886</v>
      </c>
      <c r="Z9" s="3"/>
      <c r="AA9" s="20" t="s">
        <v>47</v>
      </c>
      <c r="AB9" s="3">
        <f t="shared" si="0"/>
        <v>0.9177780428405129</v>
      </c>
      <c r="AC9" s="3">
        <f t="shared" si="1"/>
        <v>0.91413049443011574</v>
      </c>
      <c r="AD9" s="3">
        <f t="shared" si="2"/>
        <v>0.91949676616327525</v>
      </c>
      <c r="AE9" s="3">
        <f t="shared" si="3"/>
        <v>0.90482927422014681</v>
      </c>
      <c r="AF9" s="3">
        <f t="shared" si="4"/>
        <v>0.92073826889422716</v>
      </c>
      <c r="AG9" s="3">
        <f t="shared" si="5"/>
        <v>0.94224811372496697</v>
      </c>
      <c r="AH9" s="3">
        <f t="shared" si="6"/>
        <v>0.92034891035408251</v>
      </c>
      <c r="AI9" s="3">
        <f t="shared" si="7"/>
        <v>0.91266878799004614</v>
      </c>
      <c r="AL9" s="19" t="s">
        <v>64</v>
      </c>
      <c r="AM9" s="31">
        <v>0.82608695652173914</v>
      </c>
      <c r="AN9" s="31">
        <v>0.85990338164251212</v>
      </c>
      <c r="AO9" s="31">
        <v>0.7874396135265701</v>
      </c>
      <c r="AP9" s="31">
        <v>0.80193236714975846</v>
      </c>
      <c r="AQ9" s="31">
        <v>0.94202898550724634</v>
      </c>
      <c r="AR9" s="31">
        <v>0.85024154589371981</v>
      </c>
      <c r="AS9" s="31">
        <v>0.87439613526570048</v>
      </c>
      <c r="AT9" s="31">
        <v>0.84886128364389235</v>
      </c>
      <c r="AU9" s="31">
        <v>0.86473429951690817</v>
      </c>
      <c r="AV9" s="31">
        <v>0.80676328502415462</v>
      </c>
      <c r="AW9" s="31">
        <v>0.77294685990338163</v>
      </c>
      <c r="AX9" s="31">
        <v>0.75845410628019327</v>
      </c>
      <c r="AY9" s="31">
        <v>0.87922705314009664</v>
      </c>
      <c r="AZ9" s="31">
        <v>0.72463768115942029</v>
      </c>
      <c r="BA9" s="31">
        <v>0.81642512077294682</v>
      </c>
      <c r="BB9" s="31">
        <v>0.80331262939958592</v>
      </c>
      <c r="BC9" s="31">
        <v>0.83574879227053145</v>
      </c>
      <c r="BD9" s="31">
        <v>0.75845410628019327</v>
      </c>
      <c r="BE9" s="31">
        <v>0.76811594202898548</v>
      </c>
      <c r="BF9" s="31">
        <v>0.77294685990338163</v>
      </c>
      <c r="BG9" s="31">
        <v>0.82608695652173914</v>
      </c>
      <c r="BH9" s="31">
        <v>0.80193236714975846</v>
      </c>
      <c r="BI9" s="31">
        <v>0.80193236714975846</v>
      </c>
      <c r="BJ9" s="31">
        <v>0.79503105590062106</v>
      </c>
      <c r="BK9" s="31">
        <v>0.63285024154589375</v>
      </c>
      <c r="BL9" s="31">
        <v>0.81642512077294682</v>
      </c>
      <c r="BM9" s="31">
        <v>0.48792270531400966</v>
      </c>
      <c r="BN9" s="31">
        <v>0.53623188405797106</v>
      </c>
      <c r="BO9" s="31">
        <v>0.73913043478260865</v>
      </c>
      <c r="BP9" s="31">
        <v>0.82125603864734298</v>
      </c>
      <c r="BQ9" s="31">
        <v>0.85024154589371981</v>
      </c>
      <c r="BR9" s="31">
        <v>0.6977225672877847</v>
      </c>
      <c r="BS9" s="31">
        <v>0.68472906403940892</v>
      </c>
      <c r="BT9" s="31">
        <v>0.50246305418719217</v>
      </c>
      <c r="BU9" s="31">
        <v>0.64532019704433496</v>
      </c>
      <c r="BV9" s="31">
        <v>0.67015706806282727</v>
      </c>
      <c r="BW9" s="31">
        <v>0.68472906403940892</v>
      </c>
      <c r="BX9" s="31">
        <v>0.5714285714285714</v>
      </c>
      <c r="BY9" s="31">
        <v>0.61576354679802958</v>
      </c>
      <c r="BZ9" s="31">
        <v>0.62494150937139614</v>
      </c>
      <c r="CA9" s="31">
        <v>0.72774869109947649</v>
      </c>
      <c r="CB9" s="31">
        <v>0.65968586387434558</v>
      </c>
      <c r="CC9" s="31">
        <v>0.6974358974358974</v>
      </c>
      <c r="CD9" s="31">
        <v>0.68717948717948718</v>
      </c>
      <c r="CE9" s="31">
        <v>0.76963350785340312</v>
      </c>
      <c r="CF9" s="31">
        <v>0.70680628272251311</v>
      </c>
      <c r="CG9" s="31">
        <v>0.70256410256410251</v>
      </c>
      <c r="CH9" s="31">
        <v>0.70729340467560353</v>
      </c>
      <c r="CI9" s="31">
        <v>0.80295566502463056</v>
      </c>
      <c r="CJ9" s="31">
        <v>0.70769230769230773</v>
      </c>
      <c r="CK9" s="31">
        <v>0.69458128078817738</v>
      </c>
      <c r="CL9" s="31">
        <v>0.67487684729064035</v>
      </c>
      <c r="CM9" s="31">
        <v>0.79292929292929293</v>
      </c>
      <c r="CN9" s="31">
        <v>0.75897435897435894</v>
      </c>
      <c r="CO9" s="31">
        <v>0.75879396984924619</v>
      </c>
      <c r="CP9" s="31">
        <v>0.74154338893552207</v>
      </c>
      <c r="CQ9" s="31">
        <v>0.87922705314009664</v>
      </c>
      <c r="CR9" s="31">
        <v>0.66995073891625612</v>
      </c>
      <c r="CS9" s="31">
        <v>0.72946859903381644</v>
      </c>
      <c r="CT9" s="31">
        <v>0.72511848341232232</v>
      </c>
      <c r="CU9" s="31">
        <v>0.81773399014778325</v>
      </c>
      <c r="CV9" s="31">
        <v>0.70443349753694584</v>
      </c>
      <c r="CW9" s="31">
        <v>0.73399014778325122</v>
      </c>
      <c r="CX9" s="31">
        <v>0.75141750142435326</v>
      </c>
      <c r="CY9" s="31">
        <v>0.82125603864734298</v>
      </c>
      <c r="CZ9" s="31">
        <v>0.72463768115942029</v>
      </c>
      <c r="DA9" s="31">
        <v>0.83574879227053145</v>
      </c>
      <c r="DB9" s="31">
        <v>0.78260869565217395</v>
      </c>
      <c r="DC9" s="31">
        <v>0.79710144927536231</v>
      </c>
      <c r="DD9" s="31">
        <v>0.7109004739336493</v>
      </c>
      <c r="DE9" s="31">
        <v>0.75829383886255919</v>
      </c>
      <c r="DF9" s="31">
        <v>0.77579242425729134</v>
      </c>
      <c r="DG9" s="31">
        <v>0.83574879227053145</v>
      </c>
      <c r="DH9" s="31">
        <v>0.80676328502415462</v>
      </c>
      <c r="DI9" s="31">
        <v>0.83574879227053145</v>
      </c>
      <c r="DJ9" s="31">
        <v>0.77294685990338163</v>
      </c>
      <c r="DK9" s="31">
        <v>0.82608695652173914</v>
      </c>
      <c r="DL9" s="31">
        <v>0.79710144927536231</v>
      </c>
      <c r="DM9" s="31">
        <v>0.82608695652173914</v>
      </c>
      <c r="DN9" s="31">
        <v>0.81435472739820569</v>
      </c>
      <c r="DO9" s="31">
        <v>0.84834123222748814</v>
      </c>
      <c r="DP9" s="31">
        <v>0.84057971014492749</v>
      </c>
      <c r="DQ9" s="31">
        <v>0.77251184834123221</v>
      </c>
      <c r="DR9" s="31">
        <v>0.72037914691943128</v>
      </c>
      <c r="DS9" s="31">
        <v>0.85308056872037918</v>
      </c>
      <c r="DT9" s="31">
        <v>0.81516587677725116</v>
      </c>
      <c r="DU9" s="31">
        <v>0.84834123222748814</v>
      </c>
      <c r="DV9" s="31">
        <v>0.8140570879083141</v>
      </c>
      <c r="DW9" s="31">
        <v>0.82464454976303314</v>
      </c>
      <c r="DX9" s="31">
        <v>0.77725118483412325</v>
      </c>
      <c r="DY9" s="31">
        <v>0.76777251184834128</v>
      </c>
      <c r="DZ9" s="31">
        <v>0.72985781990521326</v>
      </c>
      <c r="EA9" s="31">
        <v>0.84360189573459721</v>
      </c>
      <c r="EB9" s="31">
        <v>0.79146919431279616</v>
      </c>
      <c r="EC9" s="31">
        <v>0.86255924170616116</v>
      </c>
      <c r="ED9" s="31">
        <v>0.79959377115775232</v>
      </c>
      <c r="EE9" s="31">
        <v>0.79620853080568721</v>
      </c>
      <c r="EF9" s="31">
        <v>0.77725118483412325</v>
      </c>
      <c r="EG9" s="31">
        <v>0.81516587677725116</v>
      </c>
      <c r="EH9" s="31">
        <v>0.74407582938388628</v>
      </c>
      <c r="EI9" s="31">
        <v>0.82938388625592419</v>
      </c>
      <c r="EJ9" s="31">
        <v>0.82938388625592419</v>
      </c>
      <c r="EK9" s="31">
        <v>0.81516587677725116</v>
      </c>
      <c r="EL9" s="31">
        <v>0.80094786729857825</v>
      </c>
    </row>
    <row r="10" spans="2:142" x14ac:dyDescent="0.35">
      <c r="B10" s="19">
        <v>5</v>
      </c>
      <c r="C10" s="2">
        <v>651062</v>
      </c>
      <c r="D10" s="2">
        <v>575947</v>
      </c>
      <c r="E10" s="3"/>
      <c r="F10" s="3">
        <f t="shared" si="8"/>
        <v>0.88462696333068125</v>
      </c>
      <c r="G10" s="3"/>
      <c r="H10" s="3"/>
      <c r="I10" s="19" t="s">
        <v>52</v>
      </c>
      <c r="J10" s="2">
        <v>72198</v>
      </c>
      <c r="K10" s="2">
        <v>66831</v>
      </c>
      <c r="L10" s="2">
        <v>93940</v>
      </c>
      <c r="M10" s="2">
        <v>87336</v>
      </c>
      <c r="N10" s="2">
        <v>128081</v>
      </c>
      <c r="O10" s="2">
        <v>118439</v>
      </c>
      <c r="P10" s="2">
        <v>112760</v>
      </c>
      <c r="Q10" s="2">
        <v>102075</v>
      </c>
      <c r="R10" s="2">
        <v>98554</v>
      </c>
      <c r="S10" s="2">
        <v>90883</v>
      </c>
      <c r="T10" s="2">
        <v>93240</v>
      </c>
      <c r="U10" s="2">
        <v>86849</v>
      </c>
      <c r="V10" s="2">
        <v>69059</v>
      </c>
      <c r="W10" s="2">
        <v>65395</v>
      </c>
      <c r="X10" s="2">
        <v>667832</v>
      </c>
      <c r="Y10" s="2">
        <v>617808</v>
      </c>
      <c r="Z10" s="3"/>
      <c r="AA10" s="20" t="s">
        <v>48</v>
      </c>
      <c r="AB10" s="3">
        <f t="shared" si="0"/>
        <v>0.91905336577550878</v>
      </c>
      <c r="AC10" s="3">
        <f>(VLOOKUP($AA10,$I$8:$Y$1048576,5,FALSE)/VLOOKUP($AA10,$I$8:$Y$1048576,4,FALSE))</f>
        <v>0.91938436210425989</v>
      </c>
      <c r="AD10" s="3">
        <f t="shared" si="2"/>
        <v>0.91966244330468316</v>
      </c>
      <c r="AE10" s="3">
        <f t="shared" si="3"/>
        <v>0.90698095945036161</v>
      </c>
      <c r="AF10" s="3">
        <f t="shared" si="4"/>
        <v>0.92256012850568725</v>
      </c>
      <c r="AG10" s="3">
        <f t="shared" si="5"/>
        <v>0.94408952790335732</v>
      </c>
      <c r="AH10" s="3">
        <f t="shared" si="6"/>
        <v>0.9136599198200841</v>
      </c>
      <c r="AI10" s="3">
        <f t="shared" si="7"/>
        <v>0.91562241490241736</v>
      </c>
      <c r="AL10" s="19" t="s">
        <v>65</v>
      </c>
      <c r="AM10" s="31">
        <v>0.91304347826086951</v>
      </c>
      <c r="AN10" s="31">
        <v>0.94412331406551064</v>
      </c>
      <c r="AO10" s="31">
        <v>0.87225548902195604</v>
      </c>
      <c r="AP10" s="31">
        <v>0.88293650793650791</v>
      </c>
      <c r="AQ10" s="31">
        <v>0.92445328031809149</v>
      </c>
      <c r="AR10" s="31">
        <v>0.94223107569721121</v>
      </c>
      <c r="AS10" s="31">
        <v>0.92031872509960155</v>
      </c>
      <c r="AT10" s="31">
        <v>0.91419455291424967</v>
      </c>
      <c r="AU10" s="31">
        <v>0.87268993839835729</v>
      </c>
      <c r="AV10" s="31">
        <v>0.87349397590361444</v>
      </c>
      <c r="AW10" s="31">
        <v>0.86234817813765186</v>
      </c>
      <c r="AX10" s="31">
        <v>0.86464646464646466</v>
      </c>
      <c r="AY10" s="31">
        <v>0.86947791164658639</v>
      </c>
      <c r="AZ10" s="31">
        <v>0.82329317269076308</v>
      </c>
      <c r="BA10" s="31">
        <v>0.9141716566866267</v>
      </c>
      <c r="BB10" s="31">
        <v>0.86858875687286641</v>
      </c>
      <c r="BC10" s="31">
        <v>0.83</v>
      </c>
      <c r="BD10" s="31">
        <v>0.91295546558704455</v>
      </c>
      <c r="BE10" s="31">
        <v>0.80040322580645162</v>
      </c>
      <c r="BF10" s="31">
        <v>0.84221311475409832</v>
      </c>
      <c r="BG10" s="31">
        <v>0.84431137724550898</v>
      </c>
      <c r="BH10" s="31">
        <v>0.92828685258964139</v>
      </c>
      <c r="BI10" s="31">
        <v>0.87975951903807614</v>
      </c>
      <c r="BJ10" s="31">
        <v>0.86256136500297431</v>
      </c>
      <c r="BK10" s="31">
        <v>0.85199999999999998</v>
      </c>
      <c r="BL10" s="31">
        <v>0.87268993839835729</v>
      </c>
      <c r="BM10" s="31">
        <v>0.83943089430894313</v>
      </c>
      <c r="BN10" s="31">
        <v>0.92244897959183669</v>
      </c>
      <c r="BO10" s="31">
        <v>0.86464646464646466</v>
      </c>
      <c r="BP10" s="31">
        <v>0.8936605316973415</v>
      </c>
      <c r="BQ10" s="31">
        <v>0.94117647058823528</v>
      </c>
      <c r="BR10" s="31">
        <v>0.88372189703302539</v>
      </c>
      <c r="BS10" s="31">
        <v>0.88888888888888884</v>
      </c>
      <c r="BT10" s="31">
        <v>0.86947791164658639</v>
      </c>
      <c r="BU10" s="31">
        <v>0.89979550102249484</v>
      </c>
      <c r="BV10" s="31">
        <v>0.917004048582996</v>
      </c>
      <c r="BW10" s="31">
        <v>0.9017681728880157</v>
      </c>
      <c r="BX10" s="31">
        <v>0.96199999999999997</v>
      </c>
      <c r="BY10" s="31">
        <v>0.97238658777120313</v>
      </c>
      <c r="BZ10" s="31">
        <v>0.91590301582859779</v>
      </c>
      <c r="CA10" s="31">
        <v>0.89494163424124518</v>
      </c>
      <c r="CB10" s="31">
        <v>0.8834355828220859</v>
      </c>
      <c r="CC10" s="31">
        <v>0.90854870775347918</v>
      </c>
      <c r="CD10" s="31">
        <v>0.89087301587301593</v>
      </c>
      <c r="CE10" s="31">
        <v>0.88469184890656061</v>
      </c>
      <c r="CF10" s="31">
        <v>0.88484848484848488</v>
      </c>
      <c r="CG10" s="31">
        <v>0.9389763779527559</v>
      </c>
      <c r="CH10" s="31">
        <v>0.89804509319966108</v>
      </c>
      <c r="CI10" s="31">
        <v>0.93376068376068377</v>
      </c>
      <c r="CJ10" s="31">
        <v>0.92798353909465026</v>
      </c>
      <c r="CK10" s="31">
        <v>0.94904458598726116</v>
      </c>
      <c r="CL10" s="31">
        <v>0.93520518358531313</v>
      </c>
      <c r="CM10" s="31">
        <v>0.91949152542372881</v>
      </c>
      <c r="CN10" s="31">
        <v>0.9320987654320988</v>
      </c>
      <c r="CO10" s="31">
        <v>0.93319415448851772</v>
      </c>
      <c r="CP10" s="31">
        <v>0.93296834825317909</v>
      </c>
      <c r="CQ10" s="31">
        <v>0.97222222222222221</v>
      </c>
      <c r="CR10" s="31">
        <v>0.94230769230769229</v>
      </c>
      <c r="CS10" s="31">
        <v>0.92796610169491522</v>
      </c>
      <c r="CT10" s="31">
        <v>0.93205944798301488</v>
      </c>
      <c r="CU10" s="31">
        <v>0.96544715447154472</v>
      </c>
      <c r="CV10" s="31">
        <v>0.9678800856531049</v>
      </c>
      <c r="CW10" s="31">
        <v>0.94802494802494808</v>
      </c>
      <c r="CX10" s="31">
        <v>0.95084395033677749</v>
      </c>
      <c r="CY10" s="31">
        <v>0.93945720250521925</v>
      </c>
      <c r="CZ10" s="31">
        <v>0.95807127882599585</v>
      </c>
      <c r="DA10" s="31">
        <v>0.97792494481236203</v>
      </c>
      <c r="DB10" s="31">
        <v>0.97008547008547008</v>
      </c>
      <c r="DC10" s="31">
        <v>0.96257796257796258</v>
      </c>
      <c r="DD10" s="31">
        <v>0.94635193133047213</v>
      </c>
      <c r="DE10" s="31">
        <v>0.9651639344262295</v>
      </c>
      <c r="DF10" s="31">
        <v>0.9599475320805303</v>
      </c>
      <c r="DG10" s="31">
        <v>0.94989561586638827</v>
      </c>
      <c r="DH10" s="31">
        <v>0.98720682302771856</v>
      </c>
      <c r="DI10" s="31">
        <v>0.95348837209302328</v>
      </c>
      <c r="DJ10" s="31">
        <v>0.94635193133047213</v>
      </c>
      <c r="DK10" s="31">
        <v>0.98124999999999996</v>
      </c>
      <c r="DL10" s="31">
        <v>0.96058091286307057</v>
      </c>
      <c r="DM10" s="31">
        <v>0.97925311203319498</v>
      </c>
      <c r="DN10" s="31">
        <v>0.96543239531626679</v>
      </c>
      <c r="DO10" s="31">
        <v>0.9271948608137045</v>
      </c>
      <c r="DP10" s="31">
        <v>0.93842887473460723</v>
      </c>
      <c r="DQ10" s="31">
        <v>0.95614035087719296</v>
      </c>
      <c r="DR10" s="31">
        <v>0.9550561797752809</v>
      </c>
      <c r="DS10" s="31">
        <v>0.91528925619834711</v>
      </c>
      <c r="DT10" s="31">
        <v>0.97142857142857142</v>
      </c>
      <c r="DU10" s="31">
        <v>0.93581780538302273</v>
      </c>
      <c r="DV10" s="31">
        <v>0.94276512845867533</v>
      </c>
      <c r="DW10" s="31">
        <v>0.93736951983298533</v>
      </c>
      <c r="DX10" s="31">
        <v>0.9443207126948775</v>
      </c>
      <c r="DY10" s="31">
        <v>0.92060085836909866</v>
      </c>
      <c r="DZ10" s="31">
        <v>0.9096774193548387</v>
      </c>
      <c r="EA10" s="31">
        <v>0.95991561181434604</v>
      </c>
      <c r="EB10" s="31">
        <v>0.97613882863340562</v>
      </c>
      <c r="EC10" s="31">
        <v>0.95940170940170943</v>
      </c>
      <c r="ED10" s="31">
        <v>0.94391780858589447</v>
      </c>
      <c r="EE10" s="31">
        <v>0.94432548179871523</v>
      </c>
      <c r="EF10" s="31">
        <v>0.95717344753747324</v>
      </c>
      <c r="EG10" s="31">
        <v>0.94505494505494503</v>
      </c>
      <c r="EH10" s="31">
        <v>0.97477064220183485</v>
      </c>
      <c r="EI10" s="31">
        <v>0.95565410199556544</v>
      </c>
      <c r="EJ10" s="31">
        <v>0.930379746835443</v>
      </c>
      <c r="EK10" s="31">
        <v>0.92872570194384452</v>
      </c>
      <c r="EL10" s="31">
        <v>0.94801200962397447</v>
      </c>
    </row>
    <row r="11" spans="2:142" x14ac:dyDescent="0.35">
      <c r="B11" s="19">
        <v>6</v>
      </c>
      <c r="C11" s="2">
        <v>662317</v>
      </c>
      <c r="D11" s="2">
        <v>607860</v>
      </c>
      <c r="E11" s="3"/>
      <c r="F11" s="3">
        <f t="shared" si="8"/>
        <v>0.9177780428405129</v>
      </c>
      <c r="G11" s="3"/>
      <c r="H11" s="3"/>
      <c r="I11" s="19" t="s">
        <v>53</v>
      </c>
      <c r="J11" s="2">
        <v>72571</v>
      </c>
      <c r="K11" s="2">
        <v>66850</v>
      </c>
      <c r="L11" s="2">
        <v>93791</v>
      </c>
      <c r="M11" s="2">
        <v>86415</v>
      </c>
      <c r="N11" s="2">
        <v>128342</v>
      </c>
      <c r="O11" s="2">
        <v>118533</v>
      </c>
      <c r="P11" s="2">
        <v>117278</v>
      </c>
      <c r="Q11" s="2">
        <v>106560</v>
      </c>
      <c r="R11" s="2">
        <v>98348</v>
      </c>
      <c r="S11" s="2">
        <v>90609</v>
      </c>
      <c r="T11" s="2">
        <v>93013</v>
      </c>
      <c r="U11" s="2">
        <v>87102</v>
      </c>
      <c r="V11" s="2">
        <v>69212</v>
      </c>
      <c r="W11" s="2">
        <v>65880</v>
      </c>
      <c r="X11" s="2">
        <v>672555</v>
      </c>
      <c r="Y11" s="2">
        <v>621949</v>
      </c>
      <c r="Z11" s="3"/>
      <c r="AA11" s="20" t="s">
        <v>49</v>
      </c>
      <c r="AB11" s="3">
        <f t="shared" si="0"/>
        <v>0.91875243617778568</v>
      </c>
      <c r="AC11" s="3">
        <f t="shared" si="1"/>
        <v>0.91330538702759789</v>
      </c>
      <c r="AD11" s="3">
        <f t="shared" si="2"/>
        <v>0.92058922466732906</v>
      </c>
      <c r="AE11" s="3">
        <f t="shared" si="3"/>
        <v>0.90513721147523962</v>
      </c>
      <c r="AF11" s="3">
        <f t="shared" si="4"/>
        <v>0.92688261411605166</v>
      </c>
      <c r="AG11" s="3">
        <f t="shared" si="5"/>
        <v>0.94323079648107688</v>
      </c>
      <c r="AH11" s="3">
        <f t="shared" si="6"/>
        <v>0.91291067255989411</v>
      </c>
      <c r="AI11" s="3">
        <f t="shared" si="7"/>
        <v>0.91730006019363985</v>
      </c>
      <c r="AL11" s="19" t="s">
        <v>66</v>
      </c>
      <c r="AM11" s="31">
        <v>0.89670828603859254</v>
      </c>
      <c r="AN11" s="31">
        <v>0.90681818181818186</v>
      </c>
      <c r="AO11" s="31">
        <v>0.92054483541430188</v>
      </c>
      <c r="AP11" s="31">
        <v>0.91713961407491484</v>
      </c>
      <c r="AQ11" s="31">
        <v>0.91043083900226762</v>
      </c>
      <c r="AR11" s="31">
        <v>0.9211711711711712</v>
      </c>
      <c r="AS11" s="31">
        <v>0.91657271702367527</v>
      </c>
      <c r="AT11" s="31">
        <v>0.91276937779187217</v>
      </c>
      <c r="AU11" s="31">
        <v>0.93540945790080743</v>
      </c>
      <c r="AV11" s="31">
        <v>0.92342342342342343</v>
      </c>
      <c r="AW11" s="31">
        <v>0.90783410138248843</v>
      </c>
      <c r="AX11" s="31">
        <v>0.90437788018433185</v>
      </c>
      <c r="AY11" s="31">
        <v>0.90909090909090906</v>
      </c>
      <c r="AZ11" s="31">
        <v>0.92176870748299322</v>
      </c>
      <c r="BA11" s="31">
        <v>0.91752577319587625</v>
      </c>
      <c r="BB11" s="31">
        <v>0.91706146466583272</v>
      </c>
      <c r="BC11" s="31">
        <v>0.90492554410080184</v>
      </c>
      <c r="BD11" s="31">
        <v>0.9355581127733027</v>
      </c>
      <c r="BE11" s="31">
        <v>0.89310344827586208</v>
      </c>
      <c r="BF11" s="31">
        <v>0.89643268124280784</v>
      </c>
      <c r="BG11" s="31">
        <v>0.8995433789954338</v>
      </c>
      <c r="BH11" s="31">
        <v>0.9191343963553531</v>
      </c>
      <c r="BI11" s="31">
        <v>0.90992018244013684</v>
      </c>
      <c r="BJ11" s="31">
        <v>0.90837396345481392</v>
      </c>
      <c r="BK11" s="31">
        <v>0.8595890410958904</v>
      </c>
      <c r="BL11" s="31">
        <v>0.92325581395348832</v>
      </c>
      <c r="BM11" s="31">
        <v>0.76119402985074625</v>
      </c>
      <c r="BN11" s="31">
        <v>0.80804597701149428</v>
      </c>
      <c r="BO11" s="31">
        <v>0.88571428571428568</v>
      </c>
      <c r="BP11" s="31">
        <v>0.91118800461361016</v>
      </c>
      <c r="BQ11" s="31">
        <v>0.89710982658959537</v>
      </c>
      <c r="BR11" s="31">
        <v>0.86372813983273011</v>
      </c>
      <c r="BS11" s="31">
        <v>0.89583333333333337</v>
      </c>
      <c r="BT11" s="31">
        <v>0.87931034482758619</v>
      </c>
      <c r="BU11" s="31">
        <v>0.83121387283236992</v>
      </c>
      <c r="BV11" s="31">
        <v>0.85416666666666663</v>
      </c>
      <c r="BW11" s="31">
        <v>0.89695550351288056</v>
      </c>
      <c r="BX11" s="31">
        <v>0.86613272311212819</v>
      </c>
      <c r="BY11" s="31">
        <v>0.89643268124280784</v>
      </c>
      <c r="BZ11" s="31">
        <v>0.87429216078968175</v>
      </c>
      <c r="CA11" s="31">
        <v>0.87631271878646444</v>
      </c>
      <c r="CB11" s="31">
        <v>0.895712630359212</v>
      </c>
      <c r="CC11" s="31">
        <v>0.8581314878892734</v>
      </c>
      <c r="CD11" s="31">
        <v>0.89719626168224298</v>
      </c>
      <c r="CE11" s="31">
        <v>0.88452655889145493</v>
      </c>
      <c r="CF11" s="31">
        <v>0.91183294663573089</v>
      </c>
      <c r="CG11" s="31">
        <v>0.89004629629629628</v>
      </c>
      <c r="CH11" s="31">
        <v>0.88767984293438218</v>
      </c>
      <c r="CI11" s="31">
        <v>0.875</v>
      </c>
      <c r="CJ11" s="31">
        <v>0.89722863741339487</v>
      </c>
      <c r="CK11" s="31">
        <v>0.87074829931972786</v>
      </c>
      <c r="CL11" s="31">
        <v>0.87641723356009071</v>
      </c>
      <c r="CM11" s="31">
        <v>0.89895470383275267</v>
      </c>
      <c r="CN11" s="31">
        <v>0.89540229885057476</v>
      </c>
      <c r="CO11" s="31">
        <v>0.92848904267589394</v>
      </c>
      <c r="CP11" s="31">
        <v>0.891748602236062</v>
      </c>
      <c r="CQ11" s="31">
        <v>0.89816933638443941</v>
      </c>
      <c r="CR11" s="31">
        <v>0.92915214866434381</v>
      </c>
      <c r="CS11" s="31">
        <v>0.88409090909090904</v>
      </c>
      <c r="CT11" s="31">
        <v>0.90307867730900793</v>
      </c>
      <c r="CU11" s="31">
        <v>0.92210767468499433</v>
      </c>
      <c r="CV11" s="31">
        <v>0.92174913693901039</v>
      </c>
      <c r="CW11" s="31">
        <v>0.92210767468499433</v>
      </c>
      <c r="CX11" s="31">
        <v>0.91149365110824287</v>
      </c>
      <c r="CY11" s="31">
        <v>0.91189931350114417</v>
      </c>
      <c r="CZ11" s="31">
        <v>0.91200000000000003</v>
      </c>
      <c r="DA11" s="31">
        <v>0.91034482758620694</v>
      </c>
      <c r="DB11" s="31">
        <v>0.92939814814814814</v>
      </c>
      <c r="DC11" s="31">
        <v>0.91118800461361016</v>
      </c>
      <c r="DD11" s="31">
        <v>0.88623435722411836</v>
      </c>
      <c r="DE11" s="31">
        <v>0.90340909090909094</v>
      </c>
      <c r="DF11" s="31">
        <v>0.90921053456890266</v>
      </c>
      <c r="DG11" s="31">
        <v>0.90836197021764031</v>
      </c>
      <c r="DH11" s="31">
        <v>0.95944380069524915</v>
      </c>
      <c r="DI11" s="31">
        <v>0.89547038327526129</v>
      </c>
      <c r="DJ11" s="31">
        <v>0.9064327485380117</v>
      </c>
      <c r="DK11" s="31">
        <v>0.91676300578034686</v>
      </c>
      <c r="DL11" s="31">
        <v>0.93264840182648401</v>
      </c>
      <c r="DM11" s="31">
        <v>0.93340987370838113</v>
      </c>
      <c r="DN11" s="31">
        <v>0.92179002629162488</v>
      </c>
      <c r="DO11" s="31">
        <v>0.90941176470588236</v>
      </c>
      <c r="DP11" s="31">
        <v>0.93771626297577859</v>
      </c>
      <c r="DQ11" s="31">
        <v>0.89871944121071012</v>
      </c>
      <c r="DR11" s="31">
        <v>0.92648774795799305</v>
      </c>
      <c r="DS11" s="31">
        <v>0.91755005889281505</v>
      </c>
      <c r="DT11" s="31">
        <v>0.91848450057405284</v>
      </c>
      <c r="DU11" s="31">
        <v>0.92433061699650754</v>
      </c>
      <c r="DV11" s="31">
        <v>0.91895719904482009</v>
      </c>
      <c r="DW11" s="31">
        <v>0.88465974625144173</v>
      </c>
      <c r="DX11" s="31">
        <v>0.94581861012956414</v>
      </c>
      <c r="DY11" s="31">
        <v>0.87327188940092171</v>
      </c>
      <c r="DZ11" s="31">
        <v>0.91618160651920844</v>
      </c>
      <c r="EA11" s="31">
        <v>0.90318906605922555</v>
      </c>
      <c r="EB11" s="31">
        <v>0.92674418604651165</v>
      </c>
      <c r="EC11" s="31">
        <v>0.91793669402110201</v>
      </c>
      <c r="ED11" s="31">
        <v>0.9096859712039963</v>
      </c>
      <c r="EE11" s="31">
        <v>0.87224157955865278</v>
      </c>
      <c r="EF11" s="31">
        <v>0.92415402567094518</v>
      </c>
      <c r="EG11" s="31">
        <v>0.87441860465116283</v>
      </c>
      <c r="EH11" s="31">
        <v>0.89294117647058824</v>
      </c>
      <c r="EI11" s="31">
        <v>0.91056910569105687</v>
      </c>
      <c r="EJ11" s="31">
        <v>0.93287037037037035</v>
      </c>
      <c r="EK11" s="31">
        <v>0.9149425287356322</v>
      </c>
      <c r="EL11" s="31">
        <v>0.90316248444977254</v>
      </c>
    </row>
    <row r="12" spans="2:142" x14ac:dyDescent="0.35">
      <c r="B12" s="19">
        <v>7</v>
      </c>
      <c r="C12" s="2">
        <v>665389</v>
      </c>
      <c r="D12" s="2">
        <v>611528</v>
      </c>
      <c r="E12" s="3"/>
      <c r="F12" s="3">
        <f>D12/C12</f>
        <v>0.91905336577550878</v>
      </c>
      <c r="G12" s="3"/>
      <c r="H12" s="3"/>
      <c r="I12" s="19" t="s">
        <v>54</v>
      </c>
      <c r="J12" s="2">
        <v>72759</v>
      </c>
      <c r="K12" s="2">
        <v>66920</v>
      </c>
      <c r="L12" s="2">
        <v>94380</v>
      </c>
      <c r="M12" s="2">
        <v>87339</v>
      </c>
      <c r="N12" s="2">
        <v>128277</v>
      </c>
      <c r="O12" s="2">
        <v>118639</v>
      </c>
      <c r="P12" s="2">
        <v>117119</v>
      </c>
      <c r="Q12" s="2">
        <v>106890</v>
      </c>
      <c r="R12" s="2">
        <v>98810</v>
      </c>
      <c r="S12" s="2">
        <v>90534</v>
      </c>
      <c r="T12" s="2">
        <v>93215</v>
      </c>
      <c r="U12" s="2">
        <v>87408</v>
      </c>
      <c r="V12" s="2">
        <v>69491</v>
      </c>
      <c r="W12" s="2">
        <v>65432</v>
      </c>
      <c r="X12" s="2">
        <v>674051</v>
      </c>
      <c r="Y12" s="2">
        <v>623162</v>
      </c>
      <c r="Z12" s="3"/>
      <c r="AA12" s="20" t="s">
        <v>50</v>
      </c>
      <c r="AB12" s="3">
        <f t="shared" si="0"/>
        <v>0.92302686915362386</v>
      </c>
      <c r="AC12" s="3">
        <f t="shared" si="1"/>
        <v>0.92058766838712436</v>
      </c>
      <c r="AD12" s="3">
        <f t="shared" si="2"/>
        <v>0.92430556643531936</v>
      </c>
      <c r="AE12" s="3">
        <f t="shared" si="3"/>
        <v>0.91368169747506633</v>
      </c>
      <c r="AF12" s="3">
        <f t="shared" si="4"/>
        <v>0.93356783375723795</v>
      </c>
      <c r="AG12" s="3">
        <f t="shared" si="5"/>
        <v>0.94434172682984097</v>
      </c>
      <c r="AH12" s="3">
        <f t="shared" si="6"/>
        <v>0.91197886821987117</v>
      </c>
      <c r="AI12" s="3">
        <f t="shared" si="7"/>
        <v>0.91802744634930977</v>
      </c>
      <c r="AL12" s="19" t="s">
        <v>67</v>
      </c>
      <c r="AM12" s="31">
        <v>0.96519721577726214</v>
      </c>
      <c r="AN12" s="31">
        <v>0.97652582159624413</v>
      </c>
      <c r="AO12" s="31">
        <v>0.89791183294663568</v>
      </c>
      <c r="AP12" s="31">
        <v>0.95804195804195802</v>
      </c>
      <c r="AQ12" s="31">
        <v>0.93967517401392109</v>
      </c>
      <c r="AR12" s="31">
        <v>0.95359628770301619</v>
      </c>
      <c r="AS12" s="31">
        <v>0.94575471698113212</v>
      </c>
      <c r="AT12" s="31">
        <v>0.94810042958002416</v>
      </c>
      <c r="AU12" s="31">
        <v>0.99082568807339455</v>
      </c>
      <c r="AV12" s="31">
        <v>0.96519721577726214</v>
      </c>
      <c r="AW12" s="31">
        <v>0.95316159250585475</v>
      </c>
      <c r="AX12" s="31">
        <v>0.93882352941176472</v>
      </c>
      <c r="AY12" s="31">
        <v>1</v>
      </c>
      <c r="AZ12" s="31">
        <v>0.99541284403669728</v>
      </c>
      <c r="BA12" s="31">
        <v>0.99769585253456217</v>
      </c>
      <c r="BB12" s="31">
        <v>0.97730238890564791</v>
      </c>
      <c r="BC12" s="31">
        <v>0.84951456310679607</v>
      </c>
      <c r="BD12" s="31">
        <v>0.9789719626168224</v>
      </c>
      <c r="BE12" s="31">
        <v>0.82512315270935965</v>
      </c>
      <c r="BF12" s="31">
        <v>0.82758620689655171</v>
      </c>
      <c r="BG12" s="31">
        <v>0.86682242990654201</v>
      </c>
      <c r="BH12" s="31">
        <v>0.96091954022988502</v>
      </c>
      <c r="BI12" s="31">
        <v>0.91549295774647887</v>
      </c>
      <c r="BJ12" s="31">
        <v>0.88920440188749084</v>
      </c>
      <c r="BK12" s="31">
        <v>0.89027431421446379</v>
      </c>
      <c r="BL12" s="31">
        <v>0.92137592137592139</v>
      </c>
      <c r="BM12" s="31">
        <v>0.7321428571428571</v>
      </c>
      <c r="BN12" s="31">
        <v>0.8035714285714286</v>
      </c>
      <c r="BO12" s="31">
        <v>0.91831683168316836</v>
      </c>
      <c r="BP12" s="31">
        <v>0.91687041564792171</v>
      </c>
      <c r="BQ12" s="31">
        <v>0.87254901960784315</v>
      </c>
      <c r="BR12" s="31">
        <v>0.86501439832051485</v>
      </c>
      <c r="BS12" s="31">
        <v>0.96941176470588231</v>
      </c>
      <c r="BT12" s="31">
        <v>0.82741116751269039</v>
      </c>
      <c r="BU12" s="31">
        <v>0.91549295774647887</v>
      </c>
      <c r="BV12" s="31">
        <v>0.94988066825775652</v>
      </c>
      <c r="BW12" s="31">
        <v>0.89976689976689972</v>
      </c>
      <c r="BX12" s="31">
        <v>0.95477386934673369</v>
      </c>
      <c r="BY12" s="31">
        <v>0.93380614657210403</v>
      </c>
      <c r="BZ12" s="31">
        <v>0.92150621055836368</v>
      </c>
      <c r="CA12" s="31">
        <v>0.94418604651162785</v>
      </c>
      <c r="CB12" s="31">
        <v>0.98826291079812212</v>
      </c>
      <c r="CC12" s="31">
        <v>0.91879350348027844</v>
      </c>
      <c r="CD12" s="31">
        <v>0.93255813953488376</v>
      </c>
      <c r="CE12" s="31">
        <v>0.99538106235565815</v>
      </c>
      <c r="CF12" s="31">
        <v>0.99772209567198178</v>
      </c>
      <c r="CG12" s="31">
        <v>0.98651685393258426</v>
      </c>
      <c r="CH12" s="31">
        <v>0.96620294461216238</v>
      </c>
      <c r="CI12" s="31">
        <v>0.91529411764705881</v>
      </c>
      <c r="CJ12" s="31">
        <v>0.91705069124423966</v>
      </c>
      <c r="CK12" s="31">
        <v>0.86063569682151586</v>
      </c>
      <c r="CL12" s="31">
        <v>0.94902912621359226</v>
      </c>
      <c r="CM12" s="31">
        <v>0.94103773584905659</v>
      </c>
      <c r="CN12" s="31">
        <v>0.99308755760368661</v>
      </c>
      <c r="CO12" s="31">
        <v>0.93240093240093236</v>
      </c>
      <c r="CP12" s="31">
        <v>0.92979083682572583</v>
      </c>
      <c r="CQ12" s="31">
        <v>0.91822429906542058</v>
      </c>
      <c r="CR12" s="31">
        <v>0.95961995249406173</v>
      </c>
      <c r="CS12" s="31">
        <v>0.86966824644549767</v>
      </c>
      <c r="CT12" s="31">
        <v>0.86492890995260663</v>
      </c>
      <c r="CU12" s="31">
        <v>0.91588785046728971</v>
      </c>
      <c r="CV12" s="31">
        <v>0.95754716981132071</v>
      </c>
      <c r="CW12" s="31">
        <v>0.94688221709006926</v>
      </c>
      <c r="CX12" s="31">
        <v>0.9189655207608951</v>
      </c>
      <c r="CY12" s="31">
        <v>0.9814385150812065</v>
      </c>
      <c r="CZ12" s="31">
        <v>0.92740046838407497</v>
      </c>
      <c r="DA12" s="31">
        <v>0.89182692307692313</v>
      </c>
      <c r="DB12" s="31">
        <v>0.88992974238875877</v>
      </c>
      <c r="DC12" s="31">
        <v>0.9675174013921114</v>
      </c>
      <c r="DD12" s="31">
        <v>0.95497630331753558</v>
      </c>
      <c r="DE12" s="31">
        <v>0.94326241134751776</v>
      </c>
      <c r="DF12" s="31">
        <v>0.93662168071258989</v>
      </c>
      <c r="DG12" s="31">
        <v>0.91627906976744189</v>
      </c>
      <c r="DH12" s="31">
        <v>0.9489559164733179</v>
      </c>
      <c r="DI12" s="31">
        <v>0.91879350348027844</v>
      </c>
      <c r="DJ12" s="31">
        <v>0.94199535962877035</v>
      </c>
      <c r="DK12" s="31">
        <v>0.97679814385150809</v>
      </c>
      <c r="DL12" s="31">
        <v>0.99313501144164762</v>
      </c>
      <c r="DM12" s="31">
        <v>0.98169336384439354</v>
      </c>
      <c r="DN12" s="31">
        <v>0.95395005264105126</v>
      </c>
      <c r="DO12" s="31">
        <v>0.95591647331786544</v>
      </c>
      <c r="DP12" s="31">
        <v>0.95591647331786544</v>
      </c>
      <c r="DQ12" s="31">
        <v>0.89695550351288056</v>
      </c>
      <c r="DR12" s="31">
        <v>0.90887850467289721</v>
      </c>
      <c r="DS12" s="31">
        <v>0.96983758700696054</v>
      </c>
      <c r="DT12" s="31">
        <v>0.9610983981693364</v>
      </c>
      <c r="DU12" s="31">
        <v>0.9632183908045977</v>
      </c>
      <c r="DV12" s="31">
        <v>0.94454590440034336</v>
      </c>
      <c r="DW12" s="31">
        <v>0.98855835240274603</v>
      </c>
      <c r="DX12" s="31">
        <v>0.93006993006993011</v>
      </c>
      <c r="DY12" s="31">
        <v>0.90719257540603249</v>
      </c>
      <c r="DZ12" s="31">
        <v>0.87703016241299303</v>
      </c>
      <c r="EA12" s="31">
        <v>1</v>
      </c>
      <c r="EB12" s="31">
        <v>0.94663573085846864</v>
      </c>
      <c r="EC12" s="31">
        <v>0.9675174013921114</v>
      </c>
      <c r="ED12" s="31">
        <v>0.94528630750604026</v>
      </c>
      <c r="EE12" s="31">
        <v>0.94089834515366433</v>
      </c>
      <c r="EF12" s="31">
        <v>0.95591647331786544</v>
      </c>
      <c r="EG12" s="31">
        <v>0.90736342042755347</v>
      </c>
      <c r="EH12" s="31">
        <v>0.88941176470588235</v>
      </c>
      <c r="EI12" s="31">
        <v>0.93503480278422269</v>
      </c>
      <c r="EJ12" s="31">
        <v>0.965034965034965</v>
      </c>
      <c r="EK12" s="31">
        <v>0.9515011547344111</v>
      </c>
      <c r="EL12" s="31">
        <v>0.93502298945122342</v>
      </c>
    </row>
    <row r="13" spans="2:142" x14ac:dyDescent="0.35">
      <c r="B13" s="19">
        <v>8</v>
      </c>
      <c r="C13" s="2">
        <v>664463</v>
      </c>
      <c r="D13" s="2">
        <v>610477</v>
      </c>
      <c r="E13" s="3"/>
      <c r="F13" s="3">
        <f t="shared" si="8"/>
        <v>0.91875243617778568</v>
      </c>
      <c r="G13" s="3"/>
      <c r="H13" s="3"/>
      <c r="I13" s="19" t="s">
        <v>43</v>
      </c>
      <c r="J13" s="2">
        <v>71833</v>
      </c>
      <c r="K13" s="2">
        <v>67019</v>
      </c>
      <c r="L13" s="2">
        <v>91703</v>
      </c>
      <c r="M13" s="2">
        <v>86212</v>
      </c>
      <c r="N13" s="2">
        <v>126365</v>
      </c>
      <c r="O13" s="2">
        <v>118701</v>
      </c>
      <c r="P13" s="2">
        <v>116238</v>
      </c>
      <c r="Q13" s="2">
        <v>106814</v>
      </c>
      <c r="R13" s="2">
        <v>98945</v>
      </c>
      <c r="S13" s="2">
        <v>91579</v>
      </c>
      <c r="T13" s="2">
        <v>92166</v>
      </c>
      <c r="U13" s="2">
        <v>87021</v>
      </c>
      <c r="V13" s="2">
        <v>68242</v>
      </c>
      <c r="W13" s="2">
        <v>64644</v>
      </c>
      <c r="X13" s="2">
        <v>665492</v>
      </c>
      <c r="Y13" s="2">
        <v>621990</v>
      </c>
      <c r="Z13" s="3"/>
      <c r="AA13" s="20" t="s">
        <v>51</v>
      </c>
      <c r="AB13" s="3">
        <f t="shared" si="0"/>
        <v>0.92786676852194461</v>
      </c>
      <c r="AC13" s="3">
        <f t="shared" si="1"/>
        <v>0.93154974279232738</v>
      </c>
      <c r="AD13" s="3">
        <f>(VLOOKUP($AA13,$I$8:$Y$1048576,7,FALSE)/VLOOKUP($AA13,$I$8:$Y$1048576,6,FALSE))</f>
        <v>0.92868283552990716</v>
      </c>
      <c r="AE13" s="3">
        <f t="shared" si="3"/>
        <v>0.91331466724100796</v>
      </c>
      <c r="AF13" s="3">
        <f t="shared" si="4"/>
        <v>0.93259531266875473</v>
      </c>
      <c r="AG13" s="3">
        <f t="shared" si="5"/>
        <v>0.95305307929849092</v>
      </c>
      <c r="AH13" s="3">
        <f t="shared" si="6"/>
        <v>0.92028814850730756</v>
      </c>
      <c r="AI13" s="3">
        <f t="shared" si="7"/>
        <v>0.92400133864735767</v>
      </c>
      <c r="AL13" s="19" t="s">
        <v>68</v>
      </c>
      <c r="AM13" s="31">
        <v>0.89034267912772591</v>
      </c>
      <c r="AN13" s="31">
        <v>0.90452261306532666</v>
      </c>
      <c r="AO13" s="31">
        <v>0.87882573391630237</v>
      </c>
      <c r="AP13" s="31">
        <v>0.88423028785982483</v>
      </c>
      <c r="AQ13" s="31">
        <v>0.92698019801980203</v>
      </c>
      <c r="AR13" s="31">
        <v>0.92167919799498743</v>
      </c>
      <c r="AS13" s="31">
        <v>0.89111389236545679</v>
      </c>
      <c r="AT13" s="31">
        <v>0.89967065747848951</v>
      </c>
      <c r="AU13" s="31">
        <v>0.93230769230769228</v>
      </c>
      <c r="AV13" s="31">
        <v>0.89618511569731085</v>
      </c>
      <c r="AW13" s="31">
        <v>0.92364532019704437</v>
      </c>
      <c r="AX13" s="31">
        <v>0.91389913899138986</v>
      </c>
      <c r="AY13" s="31">
        <v>0.9211822660098522</v>
      </c>
      <c r="AZ13" s="31">
        <v>0.91236793039154751</v>
      </c>
      <c r="BA13" s="31">
        <v>0.92250464972101676</v>
      </c>
      <c r="BB13" s="31">
        <v>0.91744173047369337</v>
      </c>
      <c r="BC13" s="31">
        <v>0.90211970074812964</v>
      </c>
      <c r="BD13" s="31">
        <v>0.91883519206939279</v>
      </c>
      <c r="BE13" s="31">
        <v>0.87383467992541952</v>
      </c>
      <c r="BF13" s="31">
        <v>0.87625628140703515</v>
      </c>
      <c r="BG13" s="31">
        <v>0.89655172413793105</v>
      </c>
      <c r="BH13" s="31">
        <v>0.92416769420468559</v>
      </c>
      <c r="BI13" s="31">
        <v>0.92081031307550643</v>
      </c>
      <c r="BJ13" s="31">
        <v>0.90179651222401436</v>
      </c>
      <c r="BK13" s="31">
        <v>0.83029541169076049</v>
      </c>
      <c r="BL13" s="31">
        <v>0.8752304855562385</v>
      </c>
      <c r="BM13" s="31">
        <v>0.79740259740259745</v>
      </c>
      <c r="BN13" s="31">
        <v>0.78074170461938841</v>
      </c>
      <c r="BO13" s="31">
        <v>0.88596491228070173</v>
      </c>
      <c r="BP13" s="31">
        <v>0.88187499999999996</v>
      </c>
      <c r="BQ13" s="31">
        <v>0.89644416718652531</v>
      </c>
      <c r="BR13" s="31">
        <v>0.84970775410517319</v>
      </c>
      <c r="BS13" s="31">
        <v>0.85484906872190114</v>
      </c>
      <c r="BT13" s="31">
        <v>0.79664299548095541</v>
      </c>
      <c r="BU13" s="31">
        <v>0.84743589743589742</v>
      </c>
      <c r="BV13" s="31">
        <v>0.83740359897172234</v>
      </c>
      <c r="BW13" s="31">
        <v>0.8529411764705882</v>
      </c>
      <c r="BX13" s="31">
        <v>0.81824020552344257</v>
      </c>
      <c r="BY13" s="31">
        <v>0.86354900704676485</v>
      </c>
      <c r="BZ13" s="31">
        <v>0.83872313566446732</v>
      </c>
      <c r="CA13" s="31">
        <v>0.89763275751759442</v>
      </c>
      <c r="CB13" s="31">
        <v>0.8574181117533719</v>
      </c>
      <c r="CC13" s="31">
        <v>0.85977157360406087</v>
      </c>
      <c r="CD13" s="31">
        <v>0.88073979591836737</v>
      </c>
      <c r="CE13" s="31">
        <v>0.88655194391332059</v>
      </c>
      <c r="CF13" s="31">
        <v>0.86441756842775297</v>
      </c>
      <c r="CG13" s="31">
        <v>0.87309644670050757</v>
      </c>
      <c r="CH13" s="31">
        <v>0.87423259969071077</v>
      </c>
      <c r="CI13" s="31">
        <v>0.90168014934660856</v>
      </c>
      <c r="CJ13" s="31">
        <v>0.8797986154814349</v>
      </c>
      <c r="CK13" s="31">
        <v>0.91028858218318698</v>
      </c>
      <c r="CL13" s="31">
        <v>0.9008782936010038</v>
      </c>
      <c r="CM13" s="31">
        <v>0.91073657927590512</v>
      </c>
      <c r="CN13" s="31">
        <v>0.90368980612883054</v>
      </c>
      <c r="CO13" s="31">
        <v>0.90517779164067369</v>
      </c>
      <c r="CP13" s="31">
        <v>0.9017499739510918</v>
      </c>
      <c r="CQ13" s="31">
        <v>0.88383527965580821</v>
      </c>
      <c r="CR13" s="31">
        <v>0.90458254865034526</v>
      </c>
      <c r="CS13" s="31">
        <v>0.86843730697961707</v>
      </c>
      <c r="CT13" s="31">
        <v>0.86592178770949724</v>
      </c>
      <c r="CU13" s="31">
        <v>0.87469287469287471</v>
      </c>
      <c r="CV13" s="31">
        <v>0.88541014402003759</v>
      </c>
      <c r="CW13" s="31">
        <v>0.89116915422885568</v>
      </c>
      <c r="CX13" s="31">
        <v>0.88200701370529078</v>
      </c>
      <c r="CY13" s="31">
        <v>0.90623072177668107</v>
      </c>
      <c r="CZ13" s="31">
        <v>0.8824626865671642</v>
      </c>
      <c r="DA13" s="31">
        <v>0.87243310516490358</v>
      </c>
      <c r="DB13" s="31">
        <v>0.86795994993742176</v>
      </c>
      <c r="DC13" s="31">
        <v>0.90141712877387559</v>
      </c>
      <c r="DD13" s="31">
        <v>0.90942928039702231</v>
      </c>
      <c r="DE13" s="31">
        <v>0.90394088669950734</v>
      </c>
      <c r="DF13" s="31">
        <v>0.89198196561665366</v>
      </c>
      <c r="DG13" s="31">
        <v>0.91640866873065019</v>
      </c>
      <c r="DH13" s="31">
        <v>0.89088654680719159</v>
      </c>
      <c r="DI13" s="31">
        <v>0.8877236273904997</v>
      </c>
      <c r="DJ13" s="31">
        <v>0.89876543209876547</v>
      </c>
      <c r="DK13" s="31">
        <v>0.91312384473197783</v>
      </c>
      <c r="DL13" s="31">
        <v>0.9133663366336634</v>
      </c>
      <c r="DM13" s="31">
        <v>0.91269349845201242</v>
      </c>
      <c r="DN13" s="31">
        <v>0.90470970783496596</v>
      </c>
      <c r="DO13" s="31">
        <v>0.87949640287769781</v>
      </c>
      <c r="DP13" s="31">
        <v>0.91066997518610426</v>
      </c>
      <c r="DQ13" s="31">
        <v>0.88224414303329224</v>
      </c>
      <c r="DR13" s="31">
        <v>0.88224414303329224</v>
      </c>
      <c r="DS13" s="31">
        <v>0.87909469922572958</v>
      </c>
      <c r="DT13" s="31">
        <v>0.88316357100059917</v>
      </c>
      <c r="DU13" s="31">
        <v>0.89413875598086123</v>
      </c>
      <c r="DV13" s="31">
        <v>0.88729309861965366</v>
      </c>
      <c r="DW13" s="31">
        <v>0.89192471159684272</v>
      </c>
      <c r="DX13" s="31">
        <v>0.90603609209707525</v>
      </c>
      <c r="DY13" s="31">
        <v>0.89078706528370954</v>
      </c>
      <c r="DZ13" s="31">
        <v>0.88299817184643514</v>
      </c>
      <c r="EA13" s="31">
        <v>0.87378048780487805</v>
      </c>
      <c r="EB13" s="31">
        <v>0.90526315789473688</v>
      </c>
      <c r="EC13" s="31">
        <v>0.88651616839536307</v>
      </c>
      <c r="ED13" s="31">
        <v>0.89104369355986301</v>
      </c>
      <c r="EE13" s="31">
        <v>0.90217391304347827</v>
      </c>
      <c r="EF13" s="31">
        <v>0.88056063375990246</v>
      </c>
      <c r="EG13" s="31">
        <v>0.90303030303030307</v>
      </c>
      <c r="EH13" s="31">
        <v>0.9026602176541717</v>
      </c>
      <c r="EI13" s="31">
        <v>0.89524382901866351</v>
      </c>
      <c r="EJ13" s="31">
        <v>0.88740109555690805</v>
      </c>
      <c r="EK13" s="31">
        <v>0.88083832335329337</v>
      </c>
      <c r="EL13" s="31">
        <v>0.89312975934524574</v>
      </c>
    </row>
    <row r="14" spans="2:142" x14ac:dyDescent="0.35">
      <c r="B14" s="19">
        <v>9</v>
      </c>
      <c r="C14" s="2">
        <v>666973</v>
      </c>
      <c r="D14" s="2">
        <v>615634</v>
      </c>
      <c r="E14" s="3"/>
      <c r="F14" s="3">
        <f t="shared" si="8"/>
        <v>0.92302686915362386</v>
      </c>
      <c r="G14" s="3"/>
      <c r="H14" s="3"/>
      <c r="I14" s="19" t="s">
        <v>44</v>
      </c>
      <c r="J14" s="2">
        <v>71928</v>
      </c>
      <c r="K14" s="2">
        <v>66590</v>
      </c>
      <c r="L14" s="2">
        <v>91958</v>
      </c>
      <c r="M14" s="2">
        <v>85652</v>
      </c>
      <c r="N14" s="2">
        <v>125930</v>
      </c>
      <c r="O14" s="2">
        <v>116397</v>
      </c>
      <c r="P14" s="2">
        <v>116180</v>
      </c>
      <c r="Q14" s="2">
        <v>104933</v>
      </c>
      <c r="R14" s="2">
        <v>98895</v>
      </c>
      <c r="S14" s="2">
        <v>90495</v>
      </c>
      <c r="T14" s="2">
        <v>92149</v>
      </c>
      <c r="U14" s="2">
        <v>85755</v>
      </c>
      <c r="V14" s="2">
        <v>67667</v>
      </c>
      <c r="W14" s="2">
        <v>63998</v>
      </c>
      <c r="X14" s="2">
        <v>664707</v>
      </c>
      <c r="Y14" s="2">
        <v>613820</v>
      </c>
      <c r="Z14" s="3"/>
      <c r="AA14" s="20" t="s">
        <v>52</v>
      </c>
      <c r="AB14" s="3">
        <f t="shared" si="0"/>
        <v>0.92509493405527143</v>
      </c>
      <c r="AC14" s="3">
        <f t="shared" si="1"/>
        <v>0.92969980838833299</v>
      </c>
      <c r="AD14" s="3">
        <f t="shared" si="2"/>
        <v>0.9247195134329057</v>
      </c>
      <c r="AE14" s="3">
        <f t="shared" si="3"/>
        <v>0.90524122029088328</v>
      </c>
      <c r="AF14" s="3">
        <f t="shared" si="4"/>
        <v>0.93145645645645647</v>
      </c>
      <c r="AG14" s="3">
        <f t="shared" si="5"/>
        <v>0.94694391751980189</v>
      </c>
      <c r="AH14" s="3">
        <f t="shared" si="6"/>
        <v>0.92566276074129472</v>
      </c>
      <c r="AI14" s="3">
        <f t="shared" si="7"/>
        <v>0.922164498650486</v>
      </c>
      <c r="AL14" s="19" t="s">
        <v>286</v>
      </c>
      <c r="AM14" s="31">
        <v>0.91641791044776122</v>
      </c>
      <c r="AN14" s="31">
        <v>0.92015579357351507</v>
      </c>
      <c r="AO14" s="31">
        <v>0.92500000000000004</v>
      </c>
      <c r="AP14" s="31">
        <v>0.93188548864758147</v>
      </c>
      <c r="AQ14" s="31">
        <v>0.92079207920792083</v>
      </c>
      <c r="AR14" s="31">
        <v>0.95284872298624756</v>
      </c>
      <c r="AS14" s="31">
        <v>0.9278752436647173</v>
      </c>
      <c r="AT14" s="31">
        <v>0.92785360550396334</v>
      </c>
      <c r="AU14" s="31">
        <v>0.93859649122807021</v>
      </c>
      <c r="AV14" s="31">
        <v>0.90234375</v>
      </c>
      <c r="AW14" s="31">
        <v>0.91236611489776043</v>
      </c>
      <c r="AX14" s="31">
        <v>0.92315369261477043</v>
      </c>
      <c r="AY14" s="31">
        <v>0.94503375120540023</v>
      </c>
      <c r="AZ14" s="31">
        <v>0.93201970443349758</v>
      </c>
      <c r="BA14" s="31">
        <v>0.93797709923664119</v>
      </c>
      <c r="BB14" s="31">
        <v>0.92735580051659139</v>
      </c>
      <c r="BC14" s="31">
        <v>0.95121951219512191</v>
      </c>
      <c r="BD14" s="31">
        <v>0.93346573982125125</v>
      </c>
      <c r="BE14" s="31">
        <v>0.91448007774538387</v>
      </c>
      <c r="BF14" s="31">
        <v>0.90248756218905468</v>
      </c>
      <c r="BG14" s="31">
        <v>0.9477250726040658</v>
      </c>
      <c r="BH14" s="31">
        <v>0.91819056785370545</v>
      </c>
      <c r="BI14" s="31">
        <v>0.93988549618320616</v>
      </c>
      <c r="BJ14" s="31">
        <v>0.92963628979882706</v>
      </c>
      <c r="BK14" s="31">
        <v>0.90773809523809523</v>
      </c>
      <c r="BL14" s="31">
        <v>0.93320039880358918</v>
      </c>
      <c r="BM14" s="31">
        <v>0.87462082912032357</v>
      </c>
      <c r="BN14" s="31">
        <v>0.84004127966976261</v>
      </c>
      <c r="BO14" s="31">
        <v>0.91790306627101881</v>
      </c>
      <c r="BP14" s="31">
        <v>0.92900000000000005</v>
      </c>
      <c r="BQ14" s="31">
        <v>0.94653465346534649</v>
      </c>
      <c r="BR14" s="31">
        <v>0.90700547465259074</v>
      </c>
      <c r="BS14" s="31">
        <v>0.9723360655737705</v>
      </c>
      <c r="BT14" s="31">
        <v>0.84656652360515017</v>
      </c>
      <c r="BU14" s="31">
        <v>0.95025380710659901</v>
      </c>
      <c r="BV14" s="31">
        <v>0.93520309477756292</v>
      </c>
      <c r="BW14" s="31">
        <v>0.93807106598984769</v>
      </c>
      <c r="BX14" s="31">
        <v>0.9027921406411582</v>
      </c>
      <c r="BY14" s="31">
        <v>0.92687950566426369</v>
      </c>
      <c r="BZ14" s="31">
        <v>0.92458602905119325</v>
      </c>
      <c r="CA14" s="31">
        <v>0.95740561471442398</v>
      </c>
      <c r="CB14" s="31">
        <v>0.9553128103277061</v>
      </c>
      <c r="CC14" s="31">
        <v>0.95445344129554655</v>
      </c>
      <c r="CD14" s="31">
        <v>0.92884990253411304</v>
      </c>
      <c r="CE14" s="31">
        <v>0.96975609756097558</v>
      </c>
      <c r="CF14" s="31">
        <v>0.95926285160038793</v>
      </c>
      <c r="CG14" s="31">
        <v>0.9678942398489141</v>
      </c>
      <c r="CH14" s="31">
        <v>0.9561335654117239</v>
      </c>
      <c r="CI14" s="31">
        <v>0.92765113974231916</v>
      </c>
      <c r="CJ14" s="31">
        <v>0.91586998087954108</v>
      </c>
      <c r="CK14" s="31">
        <v>0.89990089197224976</v>
      </c>
      <c r="CL14" s="31">
        <v>0.91976516634050876</v>
      </c>
      <c r="CM14" s="31">
        <v>0.92704280155642027</v>
      </c>
      <c r="CN14" s="31">
        <v>0.9470644850818094</v>
      </c>
      <c r="CO14" s="31">
        <v>0.94472361809045224</v>
      </c>
      <c r="CP14" s="31">
        <v>0.92600258338047148</v>
      </c>
      <c r="CQ14" s="31">
        <v>0.9316582914572864</v>
      </c>
      <c r="CR14" s="31">
        <v>0.93078512396694213</v>
      </c>
      <c r="CS14" s="31">
        <v>0.89057750759878418</v>
      </c>
      <c r="CT14" s="31">
        <v>0.91196834817012862</v>
      </c>
      <c r="CU14" s="31">
        <v>0.9391480730223124</v>
      </c>
      <c r="CV14" s="31">
        <v>0.94023904382470125</v>
      </c>
      <c r="CW14" s="31">
        <v>0.92337536372453932</v>
      </c>
      <c r="CX14" s="31">
        <v>0.92396453596638495</v>
      </c>
      <c r="CY14" s="31">
        <v>0.9230038022813688</v>
      </c>
      <c r="CZ14" s="31">
        <v>0.93020937188434694</v>
      </c>
      <c r="DA14" s="31">
        <v>0.92449177153920614</v>
      </c>
      <c r="DB14" s="31">
        <v>0.93276515151515149</v>
      </c>
      <c r="DC14" s="31">
        <v>0.93402061855670104</v>
      </c>
      <c r="DD14" s="31">
        <v>0.93200836820083677</v>
      </c>
      <c r="DE14" s="31">
        <v>0.93822393822393824</v>
      </c>
      <c r="DF14" s="31">
        <v>0.9306747174573643</v>
      </c>
      <c r="DG14" s="31">
        <v>0.92528735632183912</v>
      </c>
      <c r="DH14" s="31">
        <v>0.93389990557129365</v>
      </c>
      <c r="DI14" s="31">
        <v>0.92850333651096284</v>
      </c>
      <c r="DJ14" s="31">
        <v>0.93120155038759689</v>
      </c>
      <c r="DK14" s="31">
        <v>0.94961240310077522</v>
      </c>
      <c r="DL14" s="31">
        <v>0.94586614173228345</v>
      </c>
      <c r="DM14" s="31">
        <v>0.9495718363463368</v>
      </c>
      <c r="DN14" s="31">
        <v>0.9377060757101553</v>
      </c>
      <c r="DO14" s="31">
        <v>0.96215139442231079</v>
      </c>
      <c r="DP14" s="31">
        <v>0.92469018112488088</v>
      </c>
      <c r="DQ14" s="31">
        <v>0.9385365853658536</v>
      </c>
      <c r="DR14" s="31">
        <v>0.90205680705190994</v>
      </c>
      <c r="DS14" s="31">
        <v>0.97058823529411764</v>
      </c>
      <c r="DT14" s="31">
        <v>0.95307917888563054</v>
      </c>
      <c r="DU14" s="31">
        <v>0.96820809248554918</v>
      </c>
      <c r="DV14" s="31">
        <v>0.94561578209003616</v>
      </c>
      <c r="DW14" s="31">
        <v>0.96011673151750976</v>
      </c>
      <c r="DX14" s="31">
        <v>0.93987975951903813</v>
      </c>
      <c r="DY14" s="31">
        <v>0.93542074363992167</v>
      </c>
      <c r="DZ14" s="31">
        <v>0.93257359924026595</v>
      </c>
      <c r="EA14" s="31">
        <v>0.95804878048780484</v>
      </c>
      <c r="EB14" s="31">
        <v>0.94302554027504915</v>
      </c>
      <c r="EC14" s="31">
        <v>0.94460929772502478</v>
      </c>
      <c r="ED14" s="31">
        <v>0.94481063605780213</v>
      </c>
      <c r="EE14" s="31">
        <v>0.90724637681159426</v>
      </c>
      <c r="EF14" s="31">
        <v>0.93953934740882916</v>
      </c>
      <c r="EG14" s="31">
        <v>0.95256534365924495</v>
      </c>
      <c r="EH14" s="31">
        <v>0.93186372745490986</v>
      </c>
      <c r="EI14" s="31">
        <v>0.949317738791423</v>
      </c>
      <c r="EJ14" s="31">
        <v>0.94990548204158787</v>
      </c>
      <c r="EK14" s="31">
        <v>0.93875598086124401</v>
      </c>
      <c r="EL14" s="31">
        <v>0.93845628528983327</v>
      </c>
    </row>
    <row r="15" spans="2:142" x14ac:dyDescent="0.35">
      <c r="B15" s="19">
        <v>10</v>
      </c>
      <c r="C15" s="2">
        <v>670232</v>
      </c>
      <c r="D15" s="2">
        <v>621886</v>
      </c>
      <c r="E15" s="3"/>
      <c r="F15" s="3">
        <f t="shared" si="8"/>
        <v>0.92786676852194461</v>
      </c>
      <c r="G15" s="3"/>
      <c r="H15" s="3"/>
      <c r="I15" s="19" t="s">
        <v>45</v>
      </c>
      <c r="J15" s="2">
        <v>71245</v>
      </c>
      <c r="K15" s="2">
        <v>61439</v>
      </c>
      <c r="L15" s="2">
        <v>90562</v>
      </c>
      <c r="M15" s="2">
        <v>79749</v>
      </c>
      <c r="N15" s="2">
        <v>124292</v>
      </c>
      <c r="O15" s="2">
        <v>107331</v>
      </c>
      <c r="P15" s="2">
        <v>113791</v>
      </c>
      <c r="Q15" s="2">
        <v>94645</v>
      </c>
      <c r="R15" s="2">
        <v>97807</v>
      </c>
      <c r="S15" s="2">
        <v>83280</v>
      </c>
      <c r="T15" s="2">
        <v>90014</v>
      </c>
      <c r="U15" s="2">
        <v>78911</v>
      </c>
      <c r="V15" s="2">
        <v>66231</v>
      </c>
      <c r="W15" s="2">
        <v>58932</v>
      </c>
      <c r="X15" s="2">
        <v>653942</v>
      </c>
      <c r="Y15" s="2">
        <v>564287</v>
      </c>
      <c r="Z15" s="3"/>
      <c r="AA15" s="20" t="s">
        <v>53</v>
      </c>
      <c r="AB15" s="3">
        <f t="shared" si="0"/>
        <v>0.92475559619659353</v>
      </c>
      <c r="AC15" s="3">
        <f t="shared" si="1"/>
        <v>0.92135705984582739</v>
      </c>
      <c r="AD15" s="3">
        <f t="shared" si="2"/>
        <v>0.92357139517850739</v>
      </c>
      <c r="AE15" s="3">
        <f t="shared" si="3"/>
        <v>0.90861031054417707</v>
      </c>
      <c r="AF15" s="3">
        <f t="shared" si="4"/>
        <v>0.93644974358423017</v>
      </c>
      <c r="AG15" s="3">
        <f t="shared" si="5"/>
        <v>0.95185805929607581</v>
      </c>
      <c r="AH15" s="3">
        <f t="shared" si="6"/>
        <v>0.92116685728459025</v>
      </c>
      <c r="AI15" s="3">
        <f>(VLOOKUP($AA15,$I$8:$Y$1048576,11,FALSE)/VLOOKUP($AA15,$I$8:$Y$1048576,10,FALSE))</f>
        <v>0.92131004189205679</v>
      </c>
      <c r="AL15" s="19" t="s">
        <v>69</v>
      </c>
      <c r="AM15" s="31">
        <v>0.90459363957597172</v>
      </c>
      <c r="AN15" s="31">
        <v>0.87676056338028174</v>
      </c>
      <c r="AO15" s="31">
        <v>0.81886792452830193</v>
      </c>
      <c r="AP15" s="31">
        <v>0.76679841897233203</v>
      </c>
      <c r="AQ15" s="31">
        <v>0.96441281138790036</v>
      </c>
      <c r="AR15" s="31">
        <v>0.90035587188612098</v>
      </c>
      <c r="AS15" s="31">
        <v>0.9311594202898551</v>
      </c>
      <c r="AT15" s="31">
        <v>0.88042123571725206</v>
      </c>
      <c r="AU15" s="31">
        <v>0.91785714285714282</v>
      </c>
      <c r="AV15" s="31">
        <v>0.83394833948339486</v>
      </c>
      <c r="AW15" s="31">
        <v>0.80555555555555558</v>
      </c>
      <c r="AX15" s="31">
        <v>0.76806083650190116</v>
      </c>
      <c r="AY15" s="31">
        <v>0.90647482014388492</v>
      </c>
      <c r="AZ15" s="31">
        <v>0.89694656488549618</v>
      </c>
      <c r="BA15" s="31">
        <v>0.90334572490706322</v>
      </c>
      <c r="BB15" s="31">
        <v>0.86174128347634837</v>
      </c>
      <c r="BC15" s="31">
        <v>0.84790874524714832</v>
      </c>
      <c r="BD15" s="31">
        <v>0.85507246376811596</v>
      </c>
      <c r="BE15" s="31">
        <v>0.81276595744680846</v>
      </c>
      <c r="BF15" s="31">
        <v>0.73839662447257381</v>
      </c>
      <c r="BG15" s="31">
        <v>0.82442748091603058</v>
      </c>
      <c r="BH15" s="31">
        <v>0.88888888888888884</v>
      </c>
      <c r="BI15" s="31">
        <v>0.88518518518518519</v>
      </c>
      <c r="BJ15" s="31">
        <v>0.83609219227496456</v>
      </c>
      <c r="BK15" s="31">
        <v>0.85526315789473684</v>
      </c>
      <c r="BL15" s="31">
        <v>0.8</v>
      </c>
      <c r="BM15" s="31">
        <v>0.60550458715596334</v>
      </c>
      <c r="BN15" s="31">
        <v>0.59633027522935778</v>
      </c>
      <c r="BO15" s="31">
        <v>0.83966244725738393</v>
      </c>
      <c r="BP15" s="31">
        <v>0.87890625</v>
      </c>
      <c r="BQ15" s="31">
        <v>0.83984375</v>
      </c>
      <c r="BR15" s="31">
        <v>0.7736443525053488</v>
      </c>
      <c r="BS15" s="31">
        <v>0.77500000000000002</v>
      </c>
      <c r="BT15" s="31">
        <v>0.64319248826291076</v>
      </c>
      <c r="BU15" s="31">
        <v>0.65929203539823011</v>
      </c>
      <c r="BV15" s="31">
        <v>0.72888888888888892</v>
      </c>
      <c r="BW15" s="31">
        <v>0.78828828828828834</v>
      </c>
      <c r="BX15" s="31">
        <v>0.6071428571428571</v>
      </c>
      <c r="BY15" s="31">
        <v>0.72844827586206895</v>
      </c>
      <c r="BZ15" s="31">
        <v>0.70432183340617782</v>
      </c>
      <c r="CA15" s="31">
        <v>0.88842975206611574</v>
      </c>
      <c r="CB15" s="31">
        <v>0.64678899082568808</v>
      </c>
      <c r="CC15" s="31">
        <v>0.73160173160173159</v>
      </c>
      <c r="CD15" s="31">
        <v>0.66244725738396626</v>
      </c>
      <c r="CE15" s="31">
        <v>0.8925619834710744</v>
      </c>
      <c r="CF15" s="31">
        <v>0.8</v>
      </c>
      <c r="CG15" s="31">
        <v>0.86752136752136755</v>
      </c>
      <c r="CH15" s="31">
        <v>0.78419301183856327</v>
      </c>
      <c r="CI15" s="31">
        <v>0.81318681318681318</v>
      </c>
      <c r="CJ15" s="31">
        <v>0.80508474576271183</v>
      </c>
      <c r="CK15" s="31">
        <v>0.82661290322580649</v>
      </c>
      <c r="CL15" s="31">
        <v>0.78242677824267781</v>
      </c>
      <c r="CM15" s="31">
        <v>0.78909090909090907</v>
      </c>
      <c r="CN15" s="31">
        <v>0.81781376518218618</v>
      </c>
      <c r="CO15" s="31">
        <v>0.89558232931726911</v>
      </c>
      <c r="CP15" s="31">
        <v>0.81854260628691056</v>
      </c>
      <c r="CQ15" s="31">
        <v>0.86153846153846159</v>
      </c>
      <c r="CR15" s="31">
        <v>0.77470355731225293</v>
      </c>
      <c r="CS15" s="31">
        <v>0.84046692607003892</v>
      </c>
      <c r="CT15" s="31">
        <v>0.85425101214574894</v>
      </c>
      <c r="CU15" s="31">
        <v>0.86142322097378277</v>
      </c>
      <c r="CV15" s="31">
        <v>0.80078125</v>
      </c>
      <c r="CW15" s="31">
        <v>0.87832699619771859</v>
      </c>
      <c r="CX15" s="31">
        <v>0.83878448917685766</v>
      </c>
      <c r="CY15" s="31">
        <v>0.92481203007518797</v>
      </c>
      <c r="CZ15" s="31">
        <v>0.85660377358490569</v>
      </c>
      <c r="DA15" s="31">
        <v>0.78823529411764703</v>
      </c>
      <c r="DB15" s="31">
        <v>0.72137404580152675</v>
      </c>
      <c r="DC15" s="31">
        <v>0.89433962264150946</v>
      </c>
      <c r="DD15" s="31">
        <v>0.86617100371747213</v>
      </c>
      <c r="DE15" s="31">
        <v>0.88560885608856088</v>
      </c>
      <c r="DF15" s="31">
        <v>0.84816351800383016</v>
      </c>
      <c r="DG15" s="31">
        <v>0.9550561797752809</v>
      </c>
      <c r="DH15" s="31">
        <v>0.84758364312267653</v>
      </c>
      <c r="DI15" s="31">
        <v>0.83846153846153848</v>
      </c>
      <c r="DJ15" s="31">
        <v>0.83268482490272377</v>
      </c>
      <c r="DK15" s="31">
        <v>0.90145985401459849</v>
      </c>
      <c r="DL15" s="31">
        <v>0.90671641791044777</v>
      </c>
      <c r="DM15" s="31">
        <v>0.92250922509225097</v>
      </c>
      <c r="DN15" s="31">
        <v>0.8863530976113595</v>
      </c>
      <c r="DO15" s="31">
        <v>0.83098591549295775</v>
      </c>
      <c r="DP15" s="31">
        <v>0.80970149253731338</v>
      </c>
      <c r="DQ15" s="31">
        <v>0.78181818181818186</v>
      </c>
      <c r="DR15" s="31">
        <v>0.83703703703703702</v>
      </c>
      <c r="DS15" s="31">
        <v>0.86281588447653434</v>
      </c>
      <c r="DT15" s="31">
        <v>0.90909090909090906</v>
      </c>
      <c r="DU15" s="31">
        <v>0.90298507462686572</v>
      </c>
      <c r="DV15" s="31">
        <v>0.8477763564399714</v>
      </c>
      <c r="DW15" s="31">
        <v>0.89679715302491103</v>
      </c>
      <c r="DX15" s="31">
        <v>0.85925925925925928</v>
      </c>
      <c r="DY15" s="31">
        <v>0.78731343283582089</v>
      </c>
      <c r="DZ15" s="31">
        <v>0.77067669172932329</v>
      </c>
      <c r="EA15" s="31">
        <v>0.90476190476190477</v>
      </c>
      <c r="EB15" s="31">
        <v>0.87096774193548387</v>
      </c>
      <c r="EC15" s="31">
        <v>0.92500000000000004</v>
      </c>
      <c r="ED15" s="31">
        <v>0.85925374050667191</v>
      </c>
      <c r="EE15" s="31">
        <v>0.91111111111111109</v>
      </c>
      <c r="EF15" s="31">
        <v>0.80565371024734977</v>
      </c>
      <c r="EG15" s="31">
        <v>0.79629629629629628</v>
      </c>
      <c r="EH15" s="31">
        <v>0.73333333333333328</v>
      </c>
      <c r="EI15" s="31">
        <v>0.898876404494382</v>
      </c>
      <c r="EJ15" s="31">
        <v>0.90073529411764708</v>
      </c>
      <c r="EK15" s="31">
        <v>0.87912087912087911</v>
      </c>
      <c r="EL15" s="31">
        <v>0.84644671838871399</v>
      </c>
    </row>
    <row r="16" spans="2:142" x14ac:dyDescent="0.35">
      <c r="B16" s="19">
        <v>11</v>
      </c>
      <c r="C16" s="2">
        <v>667832</v>
      </c>
      <c r="D16" s="2">
        <v>617808</v>
      </c>
      <c r="E16" s="3"/>
      <c r="F16" s="3">
        <f t="shared" si="8"/>
        <v>0.92509493405527143</v>
      </c>
      <c r="G16" s="3"/>
      <c r="H16" s="3"/>
      <c r="I16" s="19" t="s">
        <v>46</v>
      </c>
      <c r="J16" s="2">
        <v>70677</v>
      </c>
      <c r="K16" s="2">
        <v>62764</v>
      </c>
      <c r="L16" s="2">
        <v>89484</v>
      </c>
      <c r="M16" s="2">
        <v>79589</v>
      </c>
      <c r="N16" s="2">
        <v>124270</v>
      </c>
      <c r="O16" s="2">
        <v>109885</v>
      </c>
      <c r="P16" s="2">
        <v>113387</v>
      </c>
      <c r="Q16" s="2">
        <v>97259</v>
      </c>
      <c r="R16" s="2">
        <v>96967</v>
      </c>
      <c r="S16" s="2">
        <v>84683</v>
      </c>
      <c r="T16" s="2">
        <v>90035</v>
      </c>
      <c r="U16" s="2">
        <v>81153</v>
      </c>
      <c r="V16" s="2">
        <v>66242</v>
      </c>
      <c r="W16" s="2">
        <v>60614</v>
      </c>
      <c r="X16" s="2">
        <v>651062</v>
      </c>
      <c r="Y16" s="2">
        <v>575947</v>
      </c>
      <c r="Z16" s="3"/>
      <c r="AA16" s="20" t="s">
        <v>54</v>
      </c>
      <c r="AB16" s="3">
        <f>(VLOOKUP($AA16,$I$8:$Y$1048576,17,FALSE)/VLOOKUP($AA16,$I$8:$Y$1048576,16,FALSE))</f>
        <v>0.92450274534122789</v>
      </c>
      <c r="AC16" s="3">
        <f t="shared" si="1"/>
        <v>0.92539732994278445</v>
      </c>
      <c r="AD16" s="3">
        <f t="shared" si="2"/>
        <v>0.92486572027721259</v>
      </c>
      <c r="AE16" s="3">
        <f t="shared" si="3"/>
        <v>0.9126614810577276</v>
      </c>
      <c r="AF16" s="3">
        <f t="shared" si="4"/>
        <v>0.93770315936276349</v>
      </c>
      <c r="AG16" s="3">
        <f t="shared" si="5"/>
        <v>0.94158955836007541</v>
      </c>
      <c r="AH16" s="3">
        <f t="shared" si="6"/>
        <v>0.9197487596036229</v>
      </c>
      <c r="AI16" s="3">
        <f t="shared" si="7"/>
        <v>0.91624329521303516</v>
      </c>
      <c r="AL16" s="19" t="s">
        <v>70</v>
      </c>
      <c r="AM16" s="31">
        <v>0.94312169312169314</v>
      </c>
      <c r="AN16" s="31">
        <v>0.91534391534391535</v>
      </c>
      <c r="AO16" s="31">
        <v>0.9285714285714286</v>
      </c>
      <c r="AP16" s="31">
        <v>0.92724867724867721</v>
      </c>
      <c r="AQ16" s="31">
        <v>0.92989417989417988</v>
      </c>
      <c r="AR16" s="31">
        <v>0.9285714285714286</v>
      </c>
      <c r="AS16" s="31">
        <v>0.95767195767195767</v>
      </c>
      <c r="AT16" s="31">
        <v>0.93291761148904018</v>
      </c>
      <c r="AU16" s="31">
        <v>0.9285714285714286</v>
      </c>
      <c r="AV16" s="31">
        <v>0.93783068783068779</v>
      </c>
      <c r="AW16" s="31">
        <v>0.91402116402116407</v>
      </c>
      <c r="AX16" s="31">
        <v>0.92460317460317465</v>
      </c>
      <c r="AY16" s="31">
        <v>0.93518518518518523</v>
      </c>
      <c r="AZ16" s="31">
        <v>0.93783068783068779</v>
      </c>
      <c r="BA16" s="31">
        <v>0.93121693121693117</v>
      </c>
      <c r="BB16" s="31">
        <v>0.92989417989417988</v>
      </c>
      <c r="BC16" s="31">
        <v>0.93650793650793651</v>
      </c>
      <c r="BD16" s="31">
        <v>0.93121693121693117</v>
      </c>
      <c r="BE16" s="31">
        <v>0.90476190476190477</v>
      </c>
      <c r="BF16" s="31">
        <v>0.91666666666666663</v>
      </c>
      <c r="BG16" s="31">
        <v>0.94179894179894175</v>
      </c>
      <c r="BH16" s="31">
        <v>0.94047619047619047</v>
      </c>
      <c r="BI16" s="31">
        <v>0.94841269841269837</v>
      </c>
      <c r="BJ16" s="31">
        <v>0.93140589569160992</v>
      </c>
      <c r="BK16" s="31">
        <v>0.82539682539682535</v>
      </c>
      <c r="BL16" s="31">
        <v>0.90873015873015872</v>
      </c>
      <c r="BM16" s="31">
        <v>0.75264550264550267</v>
      </c>
      <c r="BN16" s="31">
        <v>0.78968253968253965</v>
      </c>
      <c r="BO16" s="31">
        <v>0.8571428571428571</v>
      </c>
      <c r="BP16" s="31">
        <v>0.89417989417989419</v>
      </c>
      <c r="BQ16" s="31">
        <v>0.86904761904761907</v>
      </c>
      <c r="BR16" s="31">
        <v>0.84240362811791381</v>
      </c>
      <c r="BS16" s="31">
        <v>0.90476190476190477</v>
      </c>
      <c r="BT16" s="31">
        <v>0.83994708994709</v>
      </c>
      <c r="BU16" s="31">
        <v>0.8743386243386243</v>
      </c>
      <c r="BV16" s="31">
        <v>0.89682539682539686</v>
      </c>
      <c r="BW16" s="31">
        <v>0.8928571428571429</v>
      </c>
      <c r="BX16" s="31">
        <v>0.87830687830687826</v>
      </c>
      <c r="BY16" s="31">
        <v>0.89417989417989419</v>
      </c>
      <c r="BZ16" s="31">
        <v>0.88303099017384745</v>
      </c>
      <c r="CA16" s="31">
        <v>0.92460317460317465</v>
      </c>
      <c r="CB16" s="31">
        <v>0.90740740740740744</v>
      </c>
      <c r="CC16" s="31">
        <v>0.91666666666666663</v>
      </c>
      <c r="CD16" s="31">
        <v>0.90079365079365081</v>
      </c>
      <c r="CE16" s="31">
        <v>0.91005291005291</v>
      </c>
      <c r="CF16" s="31">
        <v>0.92460317460317465</v>
      </c>
      <c r="CG16" s="31">
        <v>0.90873015873015872</v>
      </c>
      <c r="CH16" s="31">
        <v>0.91326530612244916</v>
      </c>
      <c r="CI16" s="31">
        <v>0.92989417989417988</v>
      </c>
      <c r="CJ16" s="31">
        <v>0.90740740740740744</v>
      </c>
      <c r="CK16" s="31">
        <v>0.89947089947089942</v>
      </c>
      <c r="CL16" s="31">
        <v>0.90079365079365081</v>
      </c>
      <c r="CM16" s="31">
        <v>0.91534391534391535</v>
      </c>
      <c r="CN16" s="31">
        <v>0.94841269841269837</v>
      </c>
      <c r="CO16" s="31">
        <v>0.91137566137566139</v>
      </c>
      <c r="CP16" s="31">
        <v>0.91609977324263048</v>
      </c>
      <c r="CQ16" s="31">
        <v>0.90079365079365081</v>
      </c>
      <c r="CR16" s="31">
        <v>0.90211640211640209</v>
      </c>
      <c r="CS16" s="31">
        <v>0.89682539682539686</v>
      </c>
      <c r="CT16" s="31">
        <v>0.87962962962962965</v>
      </c>
      <c r="CU16" s="31">
        <v>0.91269841269841268</v>
      </c>
      <c r="CV16" s="31">
        <v>0.9285714285714286</v>
      </c>
      <c r="CW16" s="31">
        <v>0.90608465608465605</v>
      </c>
      <c r="CX16" s="31">
        <v>0.903817082388511</v>
      </c>
      <c r="CY16" s="31">
        <v>0.94444444444444442</v>
      </c>
      <c r="CZ16" s="31">
        <v>0.90608465608465605</v>
      </c>
      <c r="DA16" s="31">
        <v>0.92592592592592593</v>
      </c>
      <c r="DB16" s="31">
        <v>0.95634920634920639</v>
      </c>
      <c r="DC16" s="31">
        <v>0.91269841269841268</v>
      </c>
      <c r="DD16" s="31">
        <v>0.91798941798941802</v>
      </c>
      <c r="DE16" s="31">
        <v>0.90608465608465605</v>
      </c>
      <c r="DF16" s="31">
        <v>0.92422524565381703</v>
      </c>
      <c r="DG16" s="31">
        <v>0.92724867724867721</v>
      </c>
      <c r="DH16" s="31">
        <v>0.94841269841269837</v>
      </c>
      <c r="DI16" s="31">
        <v>0.93915343915343918</v>
      </c>
      <c r="DJ16" s="31">
        <v>0.94047619047619047</v>
      </c>
      <c r="DK16" s="31">
        <v>0.92989417989417988</v>
      </c>
      <c r="DL16" s="31">
        <v>0.96031746031746035</v>
      </c>
      <c r="DM16" s="31">
        <v>0.95899470899470896</v>
      </c>
      <c r="DN16" s="31">
        <v>0.94349962207105065</v>
      </c>
      <c r="DO16" s="31">
        <v>0.93386243386243384</v>
      </c>
      <c r="DP16" s="31">
        <v>0.92989417989417988</v>
      </c>
      <c r="DQ16" s="31">
        <v>0.91666666666666663</v>
      </c>
      <c r="DR16" s="31">
        <v>0.92724867724867721</v>
      </c>
      <c r="DS16" s="31">
        <v>0.94179894179894175</v>
      </c>
      <c r="DT16" s="31">
        <v>0.955026455026455</v>
      </c>
      <c r="DU16" s="31">
        <v>0.94973544973544977</v>
      </c>
      <c r="DV16" s="31">
        <v>0.93631897203325765</v>
      </c>
      <c r="DW16" s="31">
        <v>0.93915343915343918</v>
      </c>
      <c r="DX16" s="31">
        <v>0.94973544973544977</v>
      </c>
      <c r="DY16" s="31">
        <v>0.92460317460317465</v>
      </c>
      <c r="DZ16" s="31">
        <v>0.94444444444444442</v>
      </c>
      <c r="EA16" s="31">
        <v>0.94179894179894175</v>
      </c>
      <c r="EB16" s="31">
        <v>0.92063492063492058</v>
      </c>
      <c r="EC16" s="31">
        <v>0.91402116402116407</v>
      </c>
      <c r="ED16" s="31">
        <v>0.93348450491307633</v>
      </c>
      <c r="EE16" s="31">
        <v>0.93833780160857905</v>
      </c>
      <c r="EF16" s="31">
        <v>0.92724867724867721</v>
      </c>
      <c r="EG16" s="31">
        <v>0.91523178807947014</v>
      </c>
      <c r="EH16" s="31">
        <v>0.94694960212201595</v>
      </c>
      <c r="EI16" s="31">
        <v>0.93020134228187923</v>
      </c>
      <c r="EJ16" s="31">
        <v>0.946524064171123</v>
      </c>
      <c r="EK16" s="31">
        <v>0.93967828418230559</v>
      </c>
      <c r="EL16" s="31">
        <v>0.93488165138486434</v>
      </c>
    </row>
    <row r="17" spans="2:142" x14ac:dyDescent="0.35">
      <c r="B17" s="19">
        <v>12</v>
      </c>
      <c r="C17" s="2">
        <v>672555</v>
      </c>
      <c r="D17" s="2">
        <v>621949</v>
      </c>
      <c r="E17" s="3"/>
      <c r="F17" s="3">
        <f t="shared" si="8"/>
        <v>0.92475559619659353</v>
      </c>
      <c r="G17" s="3"/>
      <c r="H17" s="3"/>
      <c r="I17" s="19" t="s">
        <v>47</v>
      </c>
      <c r="J17" s="2">
        <v>71537</v>
      </c>
      <c r="K17" s="2">
        <v>65839</v>
      </c>
      <c r="L17" s="2">
        <v>91115</v>
      </c>
      <c r="M17" s="2">
        <v>83291</v>
      </c>
      <c r="N17" s="2">
        <v>126939</v>
      </c>
      <c r="O17" s="2">
        <v>116720</v>
      </c>
      <c r="P17" s="2">
        <v>115214</v>
      </c>
      <c r="Q17" s="2">
        <v>104249</v>
      </c>
      <c r="R17" s="2">
        <v>98052</v>
      </c>
      <c r="S17" s="2">
        <v>89489</v>
      </c>
      <c r="T17" s="2">
        <v>91999</v>
      </c>
      <c r="U17" s="2">
        <v>84707</v>
      </c>
      <c r="V17" s="2">
        <v>67461</v>
      </c>
      <c r="W17" s="2">
        <v>63565</v>
      </c>
      <c r="X17" s="2">
        <v>662317</v>
      </c>
      <c r="Y17" s="2">
        <v>607860</v>
      </c>
      <c r="Z17" s="3"/>
      <c r="AA17" s="20"/>
      <c r="AB17" s="3"/>
      <c r="AC17" s="3"/>
      <c r="AD17" s="3"/>
      <c r="AE17" s="3"/>
      <c r="AF17" s="3"/>
      <c r="AG17" s="3"/>
      <c r="AH17" s="3"/>
      <c r="AI17" s="3"/>
      <c r="AL17" s="19" t="s">
        <v>71</v>
      </c>
      <c r="AM17" s="31">
        <v>0.93823038397328884</v>
      </c>
      <c r="AN17" s="31">
        <v>0.89162561576354682</v>
      </c>
      <c r="AO17" s="31">
        <v>0.91584158415841588</v>
      </c>
      <c r="AP17" s="31">
        <v>0.90311986863711002</v>
      </c>
      <c r="AQ17" s="31">
        <v>0.87751677852348997</v>
      </c>
      <c r="AR17" s="31">
        <v>0.91819699499165275</v>
      </c>
      <c r="AS17" s="31">
        <v>0.91652754590984975</v>
      </c>
      <c r="AT17" s="31">
        <v>0.90872268170819359</v>
      </c>
      <c r="AU17" s="31">
        <v>0.92580101180438445</v>
      </c>
      <c r="AV17" s="31">
        <v>0.88632619439868199</v>
      </c>
      <c r="AW17" s="31">
        <v>0.89198036006546644</v>
      </c>
      <c r="AX17" s="31">
        <v>0.8834154351395731</v>
      </c>
      <c r="AY17" s="31">
        <v>0.94481605351170572</v>
      </c>
      <c r="AZ17" s="31">
        <v>0.92561983471074383</v>
      </c>
      <c r="BA17" s="31">
        <v>0.96446700507614214</v>
      </c>
      <c r="BB17" s="31">
        <v>0.91748941352952829</v>
      </c>
      <c r="BC17" s="31">
        <v>0.91166077738515905</v>
      </c>
      <c r="BD17" s="31">
        <v>0.87149917627677098</v>
      </c>
      <c r="BE17" s="31">
        <v>0.8549488054607508</v>
      </c>
      <c r="BF17" s="31">
        <v>0.84863945578231292</v>
      </c>
      <c r="BG17" s="31">
        <v>0.9369527145359019</v>
      </c>
      <c r="BH17" s="31">
        <v>0.92398648648648651</v>
      </c>
      <c r="BI17" s="31">
        <v>0.94854202401372212</v>
      </c>
      <c r="BJ17" s="31">
        <v>0.89946134856301507</v>
      </c>
      <c r="BK17" s="31">
        <v>0.89316987740805609</v>
      </c>
      <c r="BL17" s="31">
        <v>0.87201365187713309</v>
      </c>
      <c r="BM17" s="31">
        <v>0.85614035087719298</v>
      </c>
      <c r="BN17" s="31">
        <v>0.78708551483420597</v>
      </c>
      <c r="BO17" s="31">
        <v>0.89428076256499134</v>
      </c>
      <c r="BP17" s="31">
        <v>0.87352445193929174</v>
      </c>
      <c r="BQ17" s="31">
        <v>0.90598290598290598</v>
      </c>
      <c r="BR17" s="31">
        <v>0.86888535935482536</v>
      </c>
      <c r="BS17" s="31">
        <v>0.91304347826086951</v>
      </c>
      <c r="BT17" s="31">
        <v>0.78694158075601373</v>
      </c>
      <c r="BU17" s="31">
        <v>0.93979933110367897</v>
      </c>
      <c r="BV17" s="31">
        <v>0.89351081530782028</v>
      </c>
      <c r="BW17" s="31">
        <v>0.94397283531409171</v>
      </c>
      <c r="BX17" s="31">
        <v>0.82842287694974004</v>
      </c>
      <c r="BY17" s="31">
        <v>0.8452579034941764</v>
      </c>
      <c r="BZ17" s="31">
        <v>0.87870697445519852</v>
      </c>
      <c r="CA17" s="31">
        <v>0.94871794871794868</v>
      </c>
      <c r="CB17" s="31">
        <v>0.93425605536332179</v>
      </c>
      <c r="CC17" s="31">
        <v>0.93848857644991213</v>
      </c>
      <c r="CD17" s="31">
        <v>0.93309859154929575</v>
      </c>
      <c r="CE17" s="31">
        <v>0.95084745762711864</v>
      </c>
      <c r="CF17" s="31">
        <v>0.91919191919191923</v>
      </c>
      <c r="CG17" s="31">
        <v>0.96587030716723554</v>
      </c>
      <c r="CH17" s="31">
        <v>0.94149583658096447</v>
      </c>
      <c r="CI17" s="31">
        <v>0.93109540636042398</v>
      </c>
      <c r="CJ17" s="31">
        <v>0.897887323943662</v>
      </c>
      <c r="CK17" s="31">
        <v>0.91273996509598598</v>
      </c>
      <c r="CL17" s="31">
        <v>0.87697715289982425</v>
      </c>
      <c r="CM17" s="31">
        <v>0.91243432574430827</v>
      </c>
      <c r="CN17" s="31">
        <v>0.89298245614035088</v>
      </c>
      <c r="CO17" s="31">
        <v>0.90575916230366493</v>
      </c>
      <c r="CP17" s="31">
        <v>0.90426797035546014</v>
      </c>
      <c r="CQ17" s="31">
        <v>0.91003460207612452</v>
      </c>
      <c r="CR17" s="31">
        <v>0.9042553191489362</v>
      </c>
      <c r="CS17" s="31">
        <v>0.89895470383275267</v>
      </c>
      <c r="CT17" s="31">
        <v>0.86355785837651122</v>
      </c>
      <c r="CU17" s="31">
        <v>0.92881944444444442</v>
      </c>
      <c r="CV17" s="31">
        <v>0.90367775831873909</v>
      </c>
      <c r="CW17" s="31">
        <v>0.93298059964726632</v>
      </c>
      <c r="CX17" s="31">
        <v>0.9060400408349677</v>
      </c>
      <c r="CY17" s="31">
        <v>0.89403973509933776</v>
      </c>
      <c r="CZ17" s="31">
        <v>0.88135593220338981</v>
      </c>
      <c r="DA17" s="31">
        <v>0.89072847682119205</v>
      </c>
      <c r="DB17" s="31">
        <v>0.85833333333333328</v>
      </c>
      <c r="DC17" s="31">
        <v>0.91074380165289259</v>
      </c>
      <c r="DD17" s="31">
        <v>0.89038785834738621</v>
      </c>
      <c r="DE17" s="31">
        <v>0.95262267343485618</v>
      </c>
      <c r="DF17" s="31">
        <v>0.8968874015560554</v>
      </c>
      <c r="DG17" s="31">
        <v>0.90500000000000003</v>
      </c>
      <c r="DH17" s="31">
        <v>0.86125211505922161</v>
      </c>
      <c r="DI17" s="31">
        <v>0.91778523489932884</v>
      </c>
      <c r="DJ17" s="31">
        <v>0.89534883720930236</v>
      </c>
      <c r="DK17" s="31">
        <v>0.9072847682119205</v>
      </c>
      <c r="DL17" s="31">
        <v>0.86633663366336633</v>
      </c>
      <c r="DM17" s="31">
        <v>0.89517470881863559</v>
      </c>
      <c r="DN17" s="31">
        <v>0.89259747112311072</v>
      </c>
      <c r="DO17" s="31">
        <v>0.94097807757166951</v>
      </c>
      <c r="DP17" s="31">
        <v>0.90500000000000003</v>
      </c>
      <c r="DQ17" s="31">
        <v>0.89949748743718594</v>
      </c>
      <c r="DR17" s="31">
        <v>0.88647746243739567</v>
      </c>
      <c r="DS17" s="31">
        <v>0.92244224422442245</v>
      </c>
      <c r="DT17" s="31">
        <v>0.90016638935108151</v>
      </c>
      <c r="DU17" s="31">
        <v>0.92586490939044486</v>
      </c>
      <c r="DV17" s="31">
        <v>0.9114895100588859</v>
      </c>
      <c r="DW17" s="31">
        <v>0.93114754098360653</v>
      </c>
      <c r="DX17" s="31">
        <v>0.87622149837133545</v>
      </c>
      <c r="DY17" s="31">
        <v>0.90163934426229508</v>
      </c>
      <c r="DZ17" s="31">
        <v>0.83902439024390241</v>
      </c>
      <c r="EA17" s="31">
        <v>0.95379537953795379</v>
      </c>
      <c r="EB17" s="31">
        <v>0.92574257425742579</v>
      </c>
      <c r="EC17" s="31">
        <v>0.95214521452145218</v>
      </c>
      <c r="ED17" s="31">
        <v>0.91138799173971019</v>
      </c>
      <c r="EE17" s="31">
        <v>0.9286898839137645</v>
      </c>
      <c r="EF17" s="31">
        <v>0.82786885245901642</v>
      </c>
      <c r="EG17" s="31">
        <v>0.91461412151067323</v>
      </c>
      <c r="EH17" s="31">
        <v>0.88429752066115708</v>
      </c>
      <c r="EI17" s="31">
        <v>0.90476190476190477</v>
      </c>
      <c r="EJ17" s="31">
        <v>0.84262295081967209</v>
      </c>
      <c r="EK17" s="31">
        <v>0.89326765188834156</v>
      </c>
      <c r="EL17" s="31">
        <v>0.88516041228778986</v>
      </c>
    </row>
    <row r="18" spans="2:142" x14ac:dyDescent="0.35">
      <c r="B18" s="19">
        <v>13</v>
      </c>
      <c r="C18" s="2">
        <v>674051</v>
      </c>
      <c r="D18" s="2">
        <v>623162</v>
      </c>
      <c r="E18" s="3"/>
      <c r="F18" s="3">
        <f t="shared" si="8"/>
        <v>0.92450274534122789</v>
      </c>
      <c r="G18" s="3"/>
      <c r="H18" s="3"/>
      <c r="I18" s="19" t="s">
        <v>48</v>
      </c>
      <c r="J18" s="2">
        <v>71589</v>
      </c>
      <c r="K18" s="2">
        <v>65408</v>
      </c>
      <c r="L18" s="2">
        <v>92327</v>
      </c>
      <c r="M18" s="2">
        <v>84884</v>
      </c>
      <c r="N18" s="2">
        <v>128097</v>
      </c>
      <c r="O18" s="2">
        <v>117806</v>
      </c>
      <c r="P18" s="2">
        <v>115858</v>
      </c>
      <c r="Q18" s="2">
        <v>105081</v>
      </c>
      <c r="R18" s="2">
        <v>97917</v>
      </c>
      <c r="S18" s="2">
        <v>89655</v>
      </c>
      <c r="T18" s="2">
        <v>92136</v>
      </c>
      <c r="U18" s="2">
        <v>85001</v>
      </c>
      <c r="V18" s="2">
        <v>67465</v>
      </c>
      <c r="W18" s="2">
        <v>63693</v>
      </c>
      <c r="X18" s="2">
        <v>665389</v>
      </c>
      <c r="Y18" s="2">
        <v>611528</v>
      </c>
      <c r="Z18" s="3"/>
      <c r="AA18" s="3"/>
      <c r="AB18" s="3"/>
      <c r="AC18" s="3"/>
      <c r="AD18" s="3"/>
      <c r="AE18" s="3"/>
      <c r="AF18" s="3"/>
      <c r="AG18" s="3"/>
      <c r="AH18" s="3"/>
      <c r="AL18" s="19" t="s">
        <v>72</v>
      </c>
      <c r="AM18" s="31">
        <v>0.93728222996515675</v>
      </c>
      <c r="AN18" s="31">
        <v>0.9610619469026549</v>
      </c>
      <c r="AO18" s="31">
        <v>0.921875</v>
      </c>
      <c r="AP18" s="31">
        <v>0.90662139219015281</v>
      </c>
      <c r="AQ18" s="31">
        <v>0.9631578947368421</v>
      </c>
      <c r="AR18" s="31">
        <v>0.9699115044247788</v>
      </c>
      <c r="AS18" s="31">
        <v>0.95979020979020979</v>
      </c>
      <c r="AT18" s="31">
        <v>0.94567145400139929</v>
      </c>
      <c r="AU18" s="31">
        <v>0.93287435456110157</v>
      </c>
      <c r="AV18" s="31">
        <v>0.96160558464223389</v>
      </c>
      <c r="AW18" s="31">
        <v>0.9256055363321799</v>
      </c>
      <c r="AX18" s="31">
        <v>0.93504273504273505</v>
      </c>
      <c r="AY18" s="31">
        <v>0.93835616438356162</v>
      </c>
      <c r="AZ18" s="31">
        <v>0.97739130434782606</v>
      </c>
      <c r="BA18" s="31">
        <v>0.95205479452054798</v>
      </c>
      <c r="BB18" s="31">
        <v>0.94613292483288358</v>
      </c>
      <c r="BC18" s="31">
        <v>0.96385542168674698</v>
      </c>
      <c r="BD18" s="31">
        <v>0.95025728987993141</v>
      </c>
      <c r="BE18" s="31">
        <v>0.96020761245674735</v>
      </c>
      <c r="BF18" s="31">
        <v>0.97418244406196208</v>
      </c>
      <c r="BG18" s="31">
        <v>0.9329896907216495</v>
      </c>
      <c r="BH18" s="31">
        <v>0.96391752577319589</v>
      </c>
      <c r="BI18" s="31">
        <v>0.94880546075085326</v>
      </c>
      <c r="BJ18" s="31">
        <v>0.95631649219015513</v>
      </c>
      <c r="BK18" s="31">
        <v>0.85663716814159296</v>
      </c>
      <c r="BL18" s="31">
        <v>0.94845360824742264</v>
      </c>
      <c r="BM18" s="31">
        <v>0.78268551236749118</v>
      </c>
      <c r="BN18" s="31">
        <v>0.78892733564013839</v>
      </c>
      <c r="BO18" s="31">
        <v>0.93554006968641112</v>
      </c>
      <c r="BP18" s="31">
        <v>0.95818815331010454</v>
      </c>
      <c r="BQ18" s="31">
        <v>0.95164075993091535</v>
      </c>
      <c r="BR18" s="31">
        <v>0.88886751533201092</v>
      </c>
      <c r="BS18" s="31">
        <v>0.91130434782608694</v>
      </c>
      <c r="BT18" s="31">
        <v>0.79964850615114236</v>
      </c>
      <c r="BU18" s="31">
        <v>0.88049209138840068</v>
      </c>
      <c r="BV18" s="31">
        <v>0.85789473684210527</v>
      </c>
      <c r="BW18" s="31">
        <v>0.90158172231985945</v>
      </c>
      <c r="BX18" s="31">
        <v>0.81944444444444442</v>
      </c>
      <c r="BY18" s="31">
        <v>0.89103690685413006</v>
      </c>
      <c r="BZ18" s="31">
        <v>0.86591467940373856</v>
      </c>
      <c r="CA18" s="31">
        <v>0.97359154929577463</v>
      </c>
      <c r="CB18" s="31">
        <v>0.89982425307557112</v>
      </c>
      <c r="CC18" s="31">
        <v>0.95811518324607325</v>
      </c>
      <c r="CD18" s="31">
        <v>0.96119929453262787</v>
      </c>
      <c r="CE18" s="31">
        <v>0.93989071038251371</v>
      </c>
      <c r="CF18" s="31">
        <v>0.91826086956521735</v>
      </c>
      <c r="CG18" s="31">
        <v>0.95729537366548045</v>
      </c>
      <c r="CH18" s="31">
        <v>0.94402531910903698</v>
      </c>
      <c r="CI18" s="31">
        <v>0.96422182468694095</v>
      </c>
      <c r="CJ18" s="31">
        <v>0.95840867992766732</v>
      </c>
      <c r="CK18" s="31">
        <v>0.96551724137931039</v>
      </c>
      <c r="CL18" s="31">
        <v>0.97292418772563172</v>
      </c>
      <c r="CM18" s="31">
        <v>0.95691202872531422</v>
      </c>
      <c r="CN18" s="31">
        <v>0.96985815602836878</v>
      </c>
      <c r="CO18" s="31">
        <v>0.97007042253521125</v>
      </c>
      <c r="CP18" s="31">
        <v>0.96541607728692058</v>
      </c>
      <c r="CQ18" s="31">
        <v>0.96126760563380287</v>
      </c>
      <c r="CR18" s="31">
        <v>0.96857670979667287</v>
      </c>
      <c r="CS18" s="31">
        <v>0.90549828178694158</v>
      </c>
      <c r="CT18" s="31">
        <v>0.96027633851468053</v>
      </c>
      <c r="CU18" s="31">
        <v>0.95964912280701753</v>
      </c>
      <c r="CV18" s="31">
        <v>0.96276595744680848</v>
      </c>
      <c r="CW18" s="31">
        <v>0.97316636851520577</v>
      </c>
      <c r="CX18" s="31">
        <v>0.95588576921444712</v>
      </c>
      <c r="CY18" s="31">
        <v>0.9630281690140845</v>
      </c>
      <c r="CZ18" s="31">
        <v>0.95964912280701753</v>
      </c>
      <c r="DA18" s="31">
        <v>0.95195729537366547</v>
      </c>
      <c r="DB18" s="31">
        <v>0.94699646643109536</v>
      </c>
      <c r="DC18" s="31">
        <v>0.92670157068062831</v>
      </c>
      <c r="DD18" s="31">
        <v>0.96684118673647468</v>
      </c>
      <c r="DE18" s="31">
        <v>0.96153846153846156</v>
      </c>
      <c r="DF18" s="31">
        <v>0.95381603894020384</v>
      </c>
      <c r="DG18" s="31">
        <v>0.94024604569420034</v>
      </c>
      <c r="DH18" s="31">
        <v>0.95414462081128748</v>
      </c>
      <c r="DI18" s="31">
        <v>0.94921190893169882</v>
      </c>
      <c r="DJ18" s="31">
        <v>0.96472663139329806</v>
      </c>
      <c r="DK18" s="31">
        <v>0.96869565217391307</v>
      </c>
      <c r="DL18" s="31">
        <v>0.95509499136442144</v>
      </c>
      <c r="DM18" s="31">
        <v>0.95986038394415363</v>
      </c>
      <c r="DN18" s="31">
        <v>0.95599717633042469</v>
      </c>
      <c r="DO18" s="31">
        <v>0.9360967184801382</v>
      </c>
      <c r="DP18" s="31">
        <v>0.95986038394415363</v>
      </c>
      <c r="DQ18" s="31">
        <v>0.91752577319587625</v>
      </c>
      <c r="DR18" s="31">
        <v>0.88620689655172413</v>
      </c>
      <c r="DS18" s="31">
        <v>0.97007042253521125</v>
      </c>
      <c r="DT18" s="31">
        <v>0.97770154373927964</v>
      </c>
      <c r="DU18" s="31">
        <v>0.96081771720613285</v>
      </c>
      <c r="DV18" s="31">
        <v>0.94403992223607369</v>
      </c>
      <c r="DW18" s="31">
        <v>0.89948006932409008</v>
      </c>
      <c r="DX18" s="31">
        <v>0.84201388888888884</v>
      </c>
      <c r="DY18" s="31">
        <v>0.90306122448979587</v>
      </c>
      <c r="DZ18" s="31">
        <v>0.90737564322469988</v>
      </c>
      <c r="EA18" s="31">
        <v>0.92346938775510201</v>
      </c>
      <c r="EB18" s="31">
        <v>0.93686006825938561</v>
      </c>
      <c r="EC18" s="31">
        <v>0.90102389078498291</v>
      </c>
      <c r="ED18" s="31">
        <v>0.90189773896099212</v>
      </c>
      <c r="EE18" s="31">
        <v>0.92881355932203391</v>
      </c>
      <c r="EF18" s="31">
        <v>0.93986254295532645</v>
      </c>
      <c r="EG18" s="31">
        <v>0.93333333333333335</v>
      </c>
      <c r="EH18" s="31">
        <v>0.9327586206896552</v>
      </c>
      <c r="EI18" s="31">
        <v>0.95109612141652611</v>
      </c>
      <c r="EJ18" s="31">
        <v>0.97404844290657444</v>
      </c>
      <c r="EK18" s="31">
        <v>0.94435075885328834</v>
      </c>
      <c r="EL18" s="31">
        <v>0.94346619706810542</v>
      </c>
    </row>
    <row r="19" spans="2:142" x14ac:dyDescent="0.35">
      <c r="B19" s="19" t="s">
        <v>38</v>
      </c>
      <c r="C19" s="2">
        <v>8641685</v>
      </c>
      <c r="D19" s="2">
        <v>7922362</v>
      </c>
      <c r="E19" s="3"/>
      <c r="F19" s="3">
        <f t="shared" si="8"/>
        <v>0.91676125662992802</v>
      </c>
      <c r="G19" s="3"/>
      <c r="I19" s="19" t="s">
        <v>49</v>
      </c>
      <c r="J19" s="2">
        <v>71042</v>
      </c>
      <c r="K19" s="2">
        <v>64855</v>
      </c>
      <c r="L19" s="2">
        <v>92797</v>
      </c>
      <c r="M19" s="2">
        <v>84752</v>
      </c>
      <c r="N19" s="2">
        <v>127829</v>
      </c>
      <c r="O19" s="2">
        <v>117678</v>
      </c>
      <c r="P19" s="2">
        <v>115588</v>
      </c>
      <c r="Q19" s="2">
        <v>104623</v>
      </c>
      <c r="R19" s="2">
        <v>98017</v>
      </c>
      <c r="S19" s="2">
        <v>89911</v>
      </c>
      <c r="T19" s="2">
        <v>91442</v>
      </c>
      <c r="U19" s="2">
        <v>84756</v>
      </c>
      <c r="V19" s="2">
        <v>67748</v>
      </c>
      <c r="W19" s="2">
        <v>63902</v>
      </c>
      <c r="X19" s="2">
        <v>664463</v>
      </c>
      <c r="Y19" s="2">
        <v>610477</v>
      </c>
      <c r="AL19" s="19" t="s">
        <v>73</v>
      </c>
      <c r="AM19" s="31">
        <v>0.97446808510638294</v>
      </c>
      <c r="AN19" s="31">
        <v>0.93562231759656656</v>
      </c>
      <c r="AO19" s="31">
        <v>0.92703862660944203</v>
      </c>
      <c r="AP19" s="31">
        <v>0.87866108786610875</v>
      </c>
      <c r="AQ19" s="31">
        <v>0.95717344753747324</v>
      </c>
      <c r="AR19" s="31">
        <v>0.94635193133047213</v>
      </c>
      <c r="AS19" s="31">
        <v>0.9593147751605996</v>
      </c>
      <c r="AT19" s="31">
        <v>0.93980432445814921</v>
      </c>
      <c r="AU19" s="31">
        <v>0.95116772823779194</v>
      </c>
      <c r="AV19" s="31">
        <v>0.89743589743589747</v>
      </c>
      <c r="AW19" s="31">
        <v>0.90356394129979034</v>
      </c>
      <c r="AX19" s="31">
        <v>0.91949152542372881</v>
      </c>
      <c r="AY19" s="31">
        <v>0.97228144989339016</v>
      </c>
      <c r="AZ19" s="31">
        <v>0.91331923890063427</v>
      </c>
      <c r="BA19" s="31">
        <v>0.9347368421052632</v>
      </c>
      <c r="BB19" s="31">
        <v>0.92742808904235652</v>
      </c>
      <c r="BC19" s="31">
        <v>0.95064377682403434</v>
      </c>
      <c r="BD19" s="31">
        <v>0.87234042553191493</v>
      </c>
      <c r="BE19" s="31">
        <v>0.9263392857142857</v>
      </c>
      <c r="BF19" s="31">
        <v>0.88913525498891355</v>
      </c>
      <c r="BG19" s="31">
        <v>0.93361884368308357</v>
      </c>
      <c r="BH19" s="31">
        <v>0.93418259023354566</v>
      </c>
      <c r="BI19" s="31">
        <v>0.93162393162393164</v>
      </c>
      <c r="BJ19" s="31">
        <v>0.91969772979995856</v>
      </c>
      <c r="BK19" s="31">
        <v>0.85011185682326618</v>
      </c>
      <c r="BL19" s="31">
        <v>0.8905579399141631</v>
      </c>
      <c r="BM19" s="31">
        <v>0.81879194630872487</v>
      </c>
      <c r="BN19" s="31">
        <v>0.81415929203539827</v>
      </c>
      <c r="BO19" s="31">
        <v>0.90174672489082974</v>
      </c>
      <c r="BP19" s="31">
        <v>0.89224137931034486</v>
      </c>
      <c r="BQ19" s="31">
        <v>0.89826839826839822</v>
      </c>
      <c r="BR19" s="31">
        <v>0.8665539339358751</v>
      </c>
      <c r="BS19" s="31">
        <v>0.86909871244635195</v>
      </c>
      <c r="BT19" s="31">
        <v>0.84922394678492241</v>
      </c>
      <c r="BU19" s="31">
        <v>0.83333333333333337</v>
      </c>
      <c r="BV19" s="31">
        <v>0.81837606837606836</v>
      </c>
      <c r="BW19" s="31">
        <v>0.89393939393939392</v>
      </c>
      <c r="BX19" s="31">
        <v>0.84955752212389379</v>
      </c>
      <c r="BY19" s="31">
        <v>0.85557986870897151</v>
      </c>
      <c r="BZ19" s="31">
        <v>0.85272983510184786</v>
      </c>
      <c r="CA19" s="31">
        <v>0.9593147751605996</v>
      </c>
      <c r="CB19" s="31">
        <v>0.83940042826552463</v>
      </c>
      <c r="CC19" s="31">
        <v>0.91397849462365588</v>
      </c>
      <c r="CD19" s="31">
        <v>0.86086956521739133</v>
      </c>
      <c r="CE19" s="31">
        <v>0.91434689507494649</v>
      </c>
      <c r="CF19" s="31">
        <v>0.86324786324786329</v>
      </c>
      <c r="CG19" s="31">
        <v>0.90849673202614378</v>
      </c>
      <c r="CH19" s="31">
        <v>0.89423639337373206</v>
      </c>
      <c r="CI19" s="31">
        <v>0.96008869179600886</v>
      </c>
      <c r="CJ19" s="31">
        <v>0.91558441558441561</v>
      </c>
      <c r="CK19" s="31">
        <v>0.92808988764044942</v>
      </c>
      <c r="CL19" s="31">
        <v>0.89252336448598135</v>
      </c>
      <c r="CM19" s="31">
        <v>0.96724890829694321</v>
      </c>
      <c r="CN19" s="31">
        <v>0.94396551724137934</v>
      </c>
      <c r="CO19" s="31">
        <v>0.94669509594882728</v>
      </c>
      <c r="CP19" s="31">
        <v>0.9363136972848578</v>
      </c>
      <c r="CQ19" s="31">
        <v>0.9908675799086758</v>
      </c>
      <c r="CR19" s="31">
        <v>0.89414414414414412</v>
      </c>
      <c r="CS19" s="31">
        <v>0.9467592592592593</v>
      </c>
      <c r="CT19" s="31">
        <v>0.90681818181818186</v>
      </c>
      <c r="CU19" s="31">
        <v>0.96118721461187218</v>
      </c>
      <c r="CV19" s="31">
        <v>0.93231441048034935</v>
      </c>
      <c r="CW19" s="31">
        <v>0.94170403587443952</v>
      </c>
      <c r="CX19" s="31">
        <v>0.93911354658527468</v>
      </c>
      <c r="CY19" s="31">
        <v>0.96566523605150212</v>
      </c>
      <c r="CZ19" s="31">
        <v>0.94646680942184158</v>
      </c>
      <c r="DA19" s="31">
        <v>0.93390191897654584</v>
      </c>
      <c r="DB19" s="31">
        <v>0.90506329113924056</v>
      </c>
      <c r="DC19" s="31">
        <v>0.96178343949044587</v>
      </c>
      <c r="DD19" s="31">
        <v>0.95064377682403434</v>
      </c>
      <c r="DE19" s="31">
        <v>0.94004282655246252</v>
      </c>
      <c r="DF19" s="31">
        <v>0.94336675692229632</v>
      </c>
      <c r="DG19" s="31">
        <v>0.94181034482758619</v>
      </c>
      <c r="DH19" s="31">
        <v>0.92827004219409281</v>
      </c>
      <c r="DI19" s="31">
        <v>0.94004282655246252</v>
      </c>
      <c r="DJ19" s="31">
        <v>0.91666666666666663</v>
      </c>
      <c r="DK19" s="31">
        <v>0.95940170940170943</v>
      </c>
      <c r="DL19" s="31">
        <v>0.94491525423728817</v>
      </c>
      <c r="DM19" s="31">
        <v>0.97872340425531912</v>
      </c>
      <c r="DN19" s="31">
        <v>0.94426146401930366</v>
      </c>
      <c r="DO19" s="31">
        <v>0.97659574468085109</v>
      </c>
      <c r="DP19" s="31">
        <v>0.9271948608137045</v>
      </c>
      <c r="DQ19" s="31">
        <v>0.91897654584221744</v>
      </c>
      <c r="DR19" s="31">
        <v>0.90126050420168069</v>
      </c>
      <c r="DS19" s="31">
        <v>0.97669491525423724</v>
      </c>
      <c r="DT19" s="31">
        <v>0.97046413502109707</v>
      </c>
      <c r="DU19" s="31">
        <v>0.98089171974522293</v>
      </c>
      <c r="DV19" s="31">
        <v>0.95029691793700166</v>
      </c>
      <c r="DW19" s="31">
        <v>0.96595744680851059</v>
      </c>
      <c r="DX19" s="31">
        <v>0.93390191897654584</v>
      </c>
      <c r="DY19" s="31">
        <v>0.96828752642706128</v>
      </c>
      <c r="DZ19" s="31">
        <v>0.92291666666666672</v>
      </c>
      <c r="EA19" s="31">
        <v>0.97424892703862664</v>
      </c>
      <c r="EB19" s="31">
        <v>0.94703389830508478</v>
      </c>
      <c r="EC19" s="31">
        <v>0.94849785407725318</v>
      </c>
      <c r="ED19" s="31">
        <v>0.9515491768999641</v>
      </c>
      <c r="EE19" s="31">
        <v>0.94351464435146448</v>
      </c>
      <c r="EF19" s="31">
        <v>0.94032921810699588</v>
      </c>
      <c r="EG19" s="31">
        <v>0.90849673202614378</v>
      </c>
      <c r="EH19" s="31">
        <v>0.92920353982300885</v>
      </c>
      <c r="EI19" s="31">
        <v>0.97210300429184548</v>
      </c>
      <c r="EJ19" s="31">
        <v>0.9651639344262295</v>
      </c>
      <c r="EK19" s="31">
        <v>0.97603485838779958</v>
      </c>
      <c r="EL19" s="31">
        <v>0.94783513305906963</v>
      </c>
    </row>
    <row r="20" spans="2:142" x14ac:dyDescent="0.35">
      <c r="E20" s="3"/>
      <c r="F20" s="3" t="e">
        <f t="shared" si="8"/>
        <v>#DIV/0!</v>
      </c>
      <c r="G20" s="3"/>
      <c r="I20" s="19" t="s">
        <v>50</v>
      </c>
      <c r="J20" s="2">
        <v>71551</v>
      </c>
      <c r="K20" s="2">
        <v>65253</v>
      </c>
      <c r="L20" s="2">
        <v>93386</v>
      </c>
      <c r="M20" s="2">
        <v>85970</v>
      </c>
      <c r="N20" s="2">
        <v>127658</v>
      </c>
      <c r="O20" s="2">
        <v>117995</v>
      </c>
      <c r="P20" s="2">
        <v>115607</v>
      </c>
      <c r="Q20" s="2">
        <v>105628</v>
      </c>
      <c r="R20" s="2">
        <v>98228</v>
      </c>
      <c r="S20" s="2">
        <v>90176</v>
      </c>
      <c r="T20" s="2">
        <v>92395</v>
      </c>
      <c r="U20" s="2">
        <v>86257</v>
      </c>
      <c r="V20" s="2">
        <v>68148</v>
      </c>
      <c r="W20" s="2">
        <v>64355</v>
      </c>
      <c r="X20" s="2">
        <v>666973</v>
      </c>
      <c r="Y20" s="2">
        <v>615634</v>
      </c>
      <c r="AL20" s="19" t="s">
        <v>74</v>
      </c>
      <c r="AM20" s="31">
        <v>0.98333333333333328</v>
      </c>
      <c r="AN20" s="31">
        <v>0.96185737976782748</v>
      </c>
      <c r="AO20" s="31">
        <v>0.96357615894039739</v>
      </c>
      <c r="AP20" s="31">
        <v>0.97651006711409394</v>
      </c>
      <c r="AQ20" s="31">
        <v>0.95874587458745875</v>
      </c>
      <c r="AR20" s="31">
        <v>0.97364085667215816</v>
      </c>
      <c r="AS20" s="31">
        <v>0.97419354838709682</v>
      </c>
      <c r="AT20" s="31">
        <v>0.97026531697176654</v>
      </c>
      <c r="AU20" s="31">
        <v>0.96905537459283386</v>
      </c>
      <c r="AV20" s="31">
        <v>0.97829716193656091</v>
      </c>
      <c r="AW20" s="31">
        <v>0.95709570957095713</v>
      </c>
      <c r="AX20" s="31">
        <v>0.97826086956521741</v>
      </c>
      <c r="AY20" s="31">
        <v>0.97415185783521807</v>
      </c>
      <c r="AZ20" s="31">
        <v>0.97730956239870337</v>
      </c>
      <c r="BA20" s="31">
        <v>0.97415185783521807</v>
      </c>
      <c r="BB20" s="31">
        <v>0.97261748481924404</v>
      </c>
      <c r="BC20" s="31">
        <v>0.97524752475247523</v>
      </c>
      <c r="BD20" s="31">
        <v>0.97851239669421486</v>
      </c>
      <c r="BE20" s="31">
        <v>0.94397283531409171</v>
      </c>
      <c r="BF20" s="31">
        <v>0.94217687074829937</v>
      </c>
      <c r="BG20" s="31">
        <v>0.97763578274760388</v>
      </c>
      <c r="BH20" s="31">
        <v>0.9854368932038835</v>
      </c>
      <c r="BI20" s="31">
        <v>0.98245614035087714</v>
      </c>
      <c r="BJ20" s="31">
        <v>0.96934834911592083</v>
      </c>
      <c r="BK20" s="31">
        <v>0.93115318416523241</v>
      </c>
      <c r="BL20" s="31">
        <v>0.96849087893864017</v>
      </c>
      <c r="BM20" s="31">
        <v>0.86115992970123023</v>
      </c>
      <c r="BN20" s="31">
        <v>0.91428571428571426</v>
      </c>
      <c r="BO20" s="31">
        <v>0.91724137931034477</v>
      </c>
      <c r="BP20" s="31">
        <v>0.9835255354200988</v>
      </c>
      <c r="BQ20" s="31">
        <v>0.97157190635451507</v>
      </c>
      <c r="BR20" s="31">
        <v>0.93534693259653934</v>
      </c>
      <c r="BS20" s="31">
        <v>0.97872340425531912</v>
      </c>
      <c r="BT20" s="31">
        <v>0.93794326241134751</v>
      </c>
      <c r="BU20" s="31">
        <v>0.98357963875205257</v>
      </c>
      <c r="BV20" s="31">
        <v>0.97693574958813834</v>
      </c>
      <c r="BW20" s="31">
        <v>0.98157453936348404</v>
      </c>
      <c r="BX20" s="31">
        <v>0.97363796133567659</v>
      </c>
      <c r="BY20" s="31">
        <v>0.98657718120805371</v>
      </c>
      <c r="BZ20" s="31">
        <v>0.97413881955915316</v>
      </c>
      <c r="CA20" s="31">
        <v>0.96204620462046209</v>
      </c>
      <c r="CB20" s="31">
        <v>0.98217179902755269</v>
      </c>
      <c r="CC20" s="31">
        <v>0.93178036605657233</v>
      </c>
      <c r="CD20" s="31">
        <v>0.94233937397034595</v>
      </c>
      <c r="CE20" s="31">
        <v>0.96945337620578775</v>
      </c>
      <c r="CF20" s="31">
        <v>0.99059561128526641</v>
      </c>
      <c r="CG20" s="31">
        <v>0.97423510466988728</v>
      </c>
      <c r="CH20" s="31">
        <v>0.96466026226226786</v>
      </c>
      <c r="CI20" s="31">
        <v>0.95268138801261826</v>
      </c>
      <c r="CJ20" s="31">
        <v>0.96511627906976749</v>
      </c>
      <c r="CK20" s="31">
        <v>0.9273301737756714</v>
      </c>
      <c r="CL20" s="31">
        <v>0.9268680445151033</v>
      </c>
      <c r="CM20" s="31">
        <v>0.96050552922590837</v>
      </c>
      <c r="CN20" s="31">
        <v>0.96820349761526237</v>
      </c>
      <c r="CO20" s="31">
        <v>0.97667185069984452</v>
      </c>
      <c r="CP20" s="31">
        <v>0.95391096613059656</v>
      </c>
      <c r="CQ20" s="31">
        <v>0.97044334975369462</v>
      </c>
      <c r="CR20" s="31">
        <v>0.97851239669421486</v>
      </c>
      <c r="CS20" s="31">
        <v>0.93543307086614169</v>
      </c>
      <c r="CT20" s="31">
        <v>0.91482649842271291</v>
      </c>
      <c r="CU20" s="31">
        <v>0.95623987034035651</v>
      </c>
      <c r="CV20" s="31">
        <v>0.97402597402597402</v>
      </c>
      <c r="CW20" s="31">
        <v>0.96440129449838186</v>
      </c>
      <c r="CX20" s="31">
        <v>0.95626892208592518</v>
      </c>
      <c r="CY20" s="31">
        <v>0.95055821371610849</v>
      </c>
      <c r="CZ20" s="31">
        <v>0.92368839427662952</v>
      </c>
      <c r="DA20" s="31">
        <v>0.90864600326264278</v>
      </c>
      <c r="DB20" s="31">
        <v>0.93421052631578949</v>
      </c>
      <c r="DC20" s="31">
        <v>0.93800978792822187</v>
      </c>
      <c r="DD20" s="31">
        <v>0.95866454689984104</v>
      </c>
      <c r="DE20" s="31">
        <v>0.95813204508856686</v>
      </c>
      <c r="DF20" s="31">
        <v>0.93884421678397145</v>
      </c>
      <c r="DG20" s="31">
        <v>0.95352564102564108</v>
      </c>
      <c r="DH20" s="31">
        <v>0.95081967213114749</v>
      </c>
      <c r="DI20" s="31">
        <v>0.9399684044233807</v>
      </c>
      <c r="DJ20" s="31">
        <v>0.93993506493506496</v>
      </c>
      <c r="DK20" s="31">
        <v>0.96815286624203822</v>
      </c>
      <c r="DL20" s="31">
        <v>0.96979332273449925</v>
      </c>
      <c r="DM20" s="31">
        <v>0.95727848101265822</v>
      </c>
      <c r="DN20" s="31">
        <v>0.95421049321491846</v>
      </c>
      <c r="DO20" s="31">
        <v>0.94392523364485981</v>
      </c>
      <c r="DP20" s="31">
        <v>0.96964856230031948</v>
      </c>
      <c r="DQ20" s="31">
        <v>0.89054726368159209</v>
      </c>
      <c r="DR20" s="31">
        <v>0.91056910569105687</v>
      </c>
      <c r="DS20" s="31">
        <v>0.97622820919175912</v>
      </c>
      <c r="DT20" s="31">
        <v>0.9700787401574803</v>
      </c>
      <c r="DU20" s="31">
        <v>0.97634069400630918</v>
      </c>
      <c r="DV20" s="31">
        <v>0.94819111552476809</v>
      </c>
      <c r="DW20" s="31">
        <v>0.95374800637958534</v>
      </c>
      <c r="DX20" s="31">
        <v>0.94822006472491904</v>
      </c>
      <c r="DY20" s="31">
        <v>0.94771241830065356</v>
      </c>
      <c r="DZ20" s="31">
        <v>0.9518459069020867</v>
      </c>
      <c r="EA20" s="31">
        <v>0.95974235104669892</v>
      </c>
      <c r="EB20" s="31">
        <v>0.95974235104669892</v>
      </c>
      <c r="EC20" s="31">
        <v>0.9745627980922098</v>
      </c>
      <c r="ED20" s="31">
        <v>0.95651055664183604</v>
      </c>
      <c r="EE20" s="31">
        <v>0.96955128205128205</v>
      </c>
      <c r="EF20" s="31">
        <v>0.97929936305732479</v>
      </c>
      <c r="EG20" s="31">
        <v>0.95245901639344266</v>
      </c>
      <c r="EH20" s="31">
        <v>0.96229508196721314</v>
      </c>
      <c r="EI20" s="31">
        <v>0.96485623003194887</v>
      </c>
      <c r="EJ20" s="31">
        <v>0.98278560250391234</v>
      </c>
      <c r="EK20" s="31">
        <v>0.97933227344992047</v>
      </c>
      <c r="EL20" s="31">
        <v>0.97008269277929204</v>
      </c>
    </row>
    <row r="21" spans="2:142" x14ac:dyDescent="0.35">
      <c r="F21" s="3"/>
      <c r="I21" s="19" t="s">
        <v>38</v>
      </c>
      <c r="J21" s="2">
        <v>932474</v>
      </c>
      <c r="K21" s="2">
        <v>852494</v>
      </c>
      <c r="L21" s="2">
        <v>1201265</v>
      </c>
      <c r="M21" s="2">
        <v>1104735</v>
      </c>
      <c r="N21" s="2">
        <v>1650775</v>
      </c>
      <c r="O21" s="2">
        <v>1515619</v>
      </c>
      <c r="P21" s="2">
        <v>1499692</v>
      </c>
      <c r="Q21" s="2">
        <v>1349031</v>
      </c>
      <c r="R21" s="2">
        <v>1277690</v>
      </c>
      <c r="S21" s="2">
        <v>1162866</v>
      </c>
      <c r="T21" s="2">
        <v>1196121</v>
      </c>
      <c r="U21" s="2">
        <v>1107400</v>
      </c>
      <c r="V21" s="2">
        <v>883668</v>
      </c>
      <c r="W21" s="2">
        <v>830217</v>
      </c>
      <c r="X21" s="2">
        <v>8641685</v>
      </c>
      <c r="Y21" s="2">
        <v>7922362</v>
      </c>
      <c r="AL21" s="19" t="s">
        <v>75</v>
      </c>
      <c r="AM21" s="31">
        <v>0.91478439425051339</v>
      </c>
      <c r="AN21" s="31">
        <v>0.91581108829568791</v>
      </c>
      <c r="AO21" s="31">
        <v>0.92173017507723998</v>
      </c>
      <c r="AP21" s="31">
        <v>0.92070030895983523</v>
      </c>
      <c r="AQ21" s="31">
        <v>0.90740740740740744</v>
      </c>
      <c r="AR21" s="31">
        <v>0.91855670103092779</v>
      </c>
      <c r="AS21" s="31">
        <v>0.91317671092951991</v>
      </c>
      <c r="AT21" s="31">
        <v>0.91602382656444736</v>
      </c>
      <c r="AU21" s="31">
        <v>0.92959183673469392</v>
      </c>
      <c r="AV21" s="31">
        <v>0.921025641025641</v>
      </c>
      <c r="AW21" s="31">
        <v>0.92385786802030456</v>
      </c>
      <c r="AX21" s="31">
        <v>0.93044354838709675</v>
      </c>
      <c r="AY21" s="31">
        <v>0.93634496919917864</v>
      </c>
      <c r="AZ21" s="31">
        <v>0.92110655737704916</v>
      </c>
      <c r="BA21" s="31">
        <v>0.921025641025641</v>
      </c>
      <c r="BB21" s="31">
        <v>0.9261994373956578</v>
      </c>
      <c r="BC21" s="31">
        <v>0.93245967741935487</v>
      </c>
      <c r="BD21" s="31">
        <v>0.94827586206896552</v>
      </c>
      <c r="BE21" s="31">
        <v>0.91809908998988876</v>
      </c>
      <c r="BF21" s="31">
        <v>0.92182741116751266</v>
      </c>
      <c r="BG21" s="31">
        <v>0.95271629778672029</v>
      </c>
      <c r="BH21" s="31">
        <v>0.95665322580645162</v>
      </c>
      <c r="BI21" s="31">
        <v>0.92562814070351762</v>
      </c>
      <c r="BJ21" s="31">
        <v>0.93652281499177314</v>
      </c>
      <c r="BK21" s="31">
        <v>0.88073394495412849</v>
      </c>
      <c r="BL21" s="31">
        <v>0.93211752786220869</v>
      </c>
      <c r="BM21" s="31">
        <v>0.8191161356628982</v>
      </c>
      <c r="BN21" s="31">
        <v>0.82854209445585214</v>
      </c>
      <c r="BO21" s="31">
        <v>0.91700819672131151</v>
      </c>
      <c r="BP21" s="31">
        <v>0.91935483870967738</v>
      </c>
      <c r="BQ21" s="31">
        <v>0.91632653061224489</v>
      </c>
      <c r="BR21" s="31">
        <v>0.88759989556833152</v>
      </c>
      <c r="BS21" s="31">
        <v>0.92834890965732086</v>
      </c>
      <c r="BT21" s="31">
        <v>0.84086242299794656</v>
      </c>
      <c r="BU21" s="31">
        <v>0.89177939646201876</v>
      </c>
      <c r="BV21" s="31">
        <v>0.89778714436248686</v>
      </c>
      <c r="BW21" s="31">
        <v>0.91366906474820142</v>
      </c>
      <c r="BX21" s="31">
        <v>0.87448132780082988</v>
      </c>
      <c r="BY21" s="31">
        <v>0.90946930280957339</v>
      </c>
      <c r="BZ21" s="31">
        <v>0.89377108126262539</v>
      </c>
      <c r="CA21" s="31">
        <v>0.92725409836065575</v>
      </c>
      <c r="CB21" s="31">
        <v>0.90748440748440751</v>
      </c>
      <c r="CC21" s="31">
        <v>0.8996929375639714</v>
      </c>
      <c r="CD21" s="31">
        <v>0.90378710337768675</v>
      </c>
      <c r="CE21" s="31">
        <v>0.93449334698055275</v>
      </c>
      <c r="CF21" s="31">
        <v>0.89958592132505177</v>
      </c>
      <c r="CG21" s="31">
        <v>0.92523364485981308</v>
      </c>
      <c r="CH21" s="31">
        <v>0.91393306570744848</v>
      </c>
      <c r="CI21" s="31">
        <v>0.88786952089704385</v>
      </c>
      <c r="CJ21" s="31">
        <v>0.92126789366053174</v>
      </c>
      <c r="CK21" s="31">
        <v>0.89457523029682706</v>
      </c>
      <c r="CL21" s="31">
        <v>0.90319258496395471</v>
      </c>
      <c r="CM21" s="31">
        <v>0.89938398357289528</v>
      </c>
      <c r="CN21" s="31">
        <v>0.92494929006085191</v>
      </c>
      <c r="CO21" s="31">
        <v>0.91282565130260518</v>
      </c>
      <c r="CP21" s="31">
        <v>0.90629487925067287</v>
      </c>
      <c r="CQ21" s="31">
        <v>0.9271047227926078</v>
      </c>
      <c r="CR21" s="31">
        <v>0.91925465838509313</v>
      </c>
      <c r="CS21" s="31">
        <v>0.92554291623578078</v>
      </c>
      <c r="CT21" s="31">
        <v>0.93312434691745039</v>
      </c>
      <c r="CU21" s="31">
        <v>0.88659793814432986</v>
      </c>
      <c r="CV21" s="31">
        <v>0.89644670050761421</v>
      </c>
      <c r="CW21" s="31">
        <v>0.8904810644831116</v>
      </c>
      <c r="CX21" s="31">
        <v>0.91122176392371268</v>
      </c>
      <c r="CY21" s="31">
        <v>0.91701244813278004</v>
      </c>
      <c r="CZ21" s="31">
        <v>0.94043887147335425</v>
      </c>
      <c r="DA21" s="31">
        <v>0.9357894736842105</v>
      </c>
      <c r="DB21" s="31">
        <v>0.92443064182194612</v>
      </c>
      <c r="DC21" s="31">
        <v>0.92969569779643235</v>
      </c>
      <c r="DD21" s="31">
        <v>0.91581108829568791</v>
      </c>
      <c r="DE21" s="31">
        <v>0.93298429319371723</v>
      </c>
      <c r="DF21" s="31">
        <v>0.92802321634258966</v>
      </c>
      <c r="DG21" s="31">
        <v>0.92081218274111676</v>
      </c>
      <c r="DH21" s="31">
        <v>0.93833504624871533</v>
      </c>
      <c r="DI21" s="31">
        <v>0.93502538071065988</v>
      </c>
      <c r="DJ21" s="31">
        <v>0.93825910931174084</v>
      </c>
      <c r="DK21" s="31">
        <v>0.93184130213631744</v>
      </c>
      <c r="DL21" s="31">
        <v>0.93621399176954734</v>
      </c>
      <c r="DM21" s="31">
        <v>0.93184130213631744</v>
      </c>
      <c r="DN21" s="31">
        <v>0.93318975929348791</v>
      </c>
      <c r="DO21" s="31">
        <v>0.93893893893893898</v>
      </c>
      <c r="DP21" s="31">
        <v>0.94556451612903225</v>
      </c>
      <c r="DQ21" s="31">
        <v>0.91506572295247723</v>
      </c>
      <c r="DR21" s="31">
        <v>0.91428571428571426</v>
      </c>
      <c r="DS21" s="31">
        <v>0.94394394394394399</v>
      </c>
      <c r="DT21" s="31">
        <v>0.93161546085232905</v>
      </c>
      <c r="DU21" s="31">
        <v>0.93545183714001989</v>
      </c>
      <c r="DV21" s="31">
        <v>0.93212373346320809</v>
      </c>
      <c r="DW21" s="31">
        <v>0.90954274353876741</v>
      </c>
      <c r="DX21" s="31">
        <v>0.92871690427698572</v>
      </c>
      <c r="DY21" s="31">
        <v>0.91878172588832485</v>
      </c>
      <c r="DZ21" s="31">
        <v>0.91666666666666663</v>
      </c>
      <c r="EA21" s="31">
        <v>0.91073219658976934</v>
      </c>
      <c r="EB21" s="31">
        <v>0.92323232323232318</v>
      </c>
      <c r="EC21" s="31">
        <v>0.93145161290322576</v>
      </c>
      <c r="ED21" s="31">
        <v>0.91987488187086608</v>
      </c>
      <c r="EE21" s="31">
        <v>0.91532258064516125</v>
      </c>
      <c r="EF21" s="31">
        <v>0.91129032258064513</v>
      </c>
      <c r="EG21" s="31">
        <v>0.90744466800804824</v>
      </c>
      <c r="EH21" s="31">
        <v>0.94932781799379529</v>
      </c>
      <c r="EI21" s="31">
        <v>0.93554884189325271</v>
      </c>
      <c r="EJ21" s="31">
        <v>0.94076305220883538</v>
      </c>
      <c r="EK21" s="31">
        <v>0.94416749750747753</v>
      </c>
      <c r="EL21" s="31">
        <v>0.92912354011960219</v>
      </c>
    </row>
    <row r="22" spans="2:142" x14ac:dyDescent="0.35">
      <c r="B22" s="21"/>
      <c r="C22" s="21"/>
      <c r="D22" s="21"/>
      <c r="E22" s="21"/>
      <c r="F22" s="21"/>
      <c r="G22" s="21"/>
      <c r="AL22" s="19" t="s">
        <v>76</v>
      </c>
      <c r="AM22" s="31">
        <v>0.93825301204819278</v>
      </c>
      <c r="AN22" s="31">
        <v>0.9869565217391304</v>
      </c>
      <c r="AO22" s="31">
        <v>0.94887218045112787</v>
      </c>
      <c r="AP22" s="31">
        <v>0.93684210526315792</v>
      </c>
      <c r="AQ22" s="31">
        <v>0.95639097744360901</v>
      </c>
      <c r="AR22" s="31">
        <v>0.97391304347826091</v>
      </c>
      <c r="AS22" s="31">
        <v>0.98243045387994143</v>
      </c>
      <c r="AT22" s="31">
        <v>0.96052261347191714</v>
      </c>
      <c r="AU22" s="31">
        <v>0.95488721804511278</v>
      </c>
      <c r="AV22" s="31">
        <v>0.97080291970802923</v>
      </c>
      <c r="AW22" s="31">
        <v>0.95180722891566261</v>
      </c>
      <c r="AX22" s="31">
        <v>0.95294117647058818</v>
      </c>
      <c r="AY22" s="31">
        <v>0.98062593144560362</v>
      </c>
      <c r="AZ22" s="31">
        <v>0.96627565982404695</v>
      </c>
      <c r="BA22" s="31">
        <v>0.96119402985074631</v>
      </c>
      <c r="BB22" s="31">
        <v>0.96264773775139856</v>
      </c>
      <c r="BC22" s="31">
        <v>0.9714714714714715</v>
      </c>
      <c r="BD22" s="31">
        <v>0.9776785714285714</v>
      </c>
      <c r="BE22" s="31">
        <v>0.95352323838080955</v>
      </c>
      <c r="BF22" s="31">
        <v>0.94152923538230882</v>
      </c>
      <c r="BG22" s="31">
        <v>0.95808383233532934</v>
      </c>
      <c r="BH22" s="31">
        <v>0.98656716417910451</v>
      </c>
      <c r="BI22" s="31">
        <v>0.96706586826347307</v>
      </c>
      <c r="BJ22" s="31">
        <v>0.96513134020586711</v>
      </c>
      <c r="BK22" s="31">
        <v>0.88403614457831325</v>
      </c>
      <c r="BL22" s="31">
        <v>0.94385432473444608</v>
      </c>
      <c r="BM22" s="31">
        <v>0.79563182527301091</v>
      </c>
      <c r="BN22" s="31">
        <v>0.81607418856259661</v>
      </c>
      <c r="BO22" s="31">
        <v>0.91916167664670656</v>
      </c>
      <c r="BP22" s="31">
        <v>0.96296296296296291</v>
      </c>
      <c r="BQ22" s="31">
        <v>0.92421991084695398</v>
      </c>
      <c r="BR22" s="31">
        <v>0.89227729051499871</v>
      </c>
      <c r="BS22" s="31">
        <v>0.94817073170731703</v>
      </c>
      <c r="BT22" s="31">
        <v>0.8705148205928237</v>
      </c>
      <c r="BU22" s="31">
        <v>0.92141756548536213</v>
      </c>
      <c r="BV22" s="31">
        <v>0.92767295597484278</v>
      </c>
      <c r="BW22" s="31">
        <v>0.95029239766081874</v>
      </c>
      <c r="BX22" s="31">
        <v>0.88479262672811065</v>
      </c>
      <c r="BY22" s="31">
        <v>0.87779433681073027</v>
      </c>
      <c r="BZ22" s="31">
        <v>0.91152220499428638</v>
      </c>
      <c r="CA22" s="31">
        <v>0.97774480712166167</v>
      </c>
      <c r="CB22" s="31">
        <v>0.92746913580246915</v>
      </c>
      <c r="CC22" s="31">
        <v>0.92343032159264926</v>
      </c>
      <c r="CD22" s="31">
        <v>0.9399684044233807</v>
      </c>
      <c r="CE22" s="31">
        <v>0.97601199400299854</v>
      </c>
      <c r="CF22" s="31">
        <v>0.96445131375579596</v>
      </c>
      <c r="CG22" s="31">
        <v>0.97542242703533022</v>
      </c>
      <c r="CH22" s="31">
        <v>0.95492834339061206</v>
      </c>
      <c r="CI22" s="31">
        <v>0.96355685131195334</v>
      </c>
      <c r="CJ22" s="31">
        <v>0.96171516079632469</v>
      </c>
      <c r="CK22" s="31">
        <v>0.94370370370370371</v>
      </c>
      <c r="CL22" s="31">
        <v>0.93667157584683358</v>
      </c>
      <c r="CM22" s="31">
        <v>0.97402597402597402</v>
      </c>
      <c r="CN22" s="31">
        <v>0.96852646638054363</v>
      </c>
      <c r="CO22" s="31">
        <v>0.96590909090909094</v>
      </c>
      <c r="CP22" s="31">
        <v>0.95915840328206048</v>
      </c>
      <c r="CQ22" s="31">
        <v>0.93353474320241692</v>
      </c>
      <c r="CR22" s="31">
        <v>0.95414201183431957</v>
      </c>
      <c r="CS22" s="31">
        <v>0.9196428571428571</v>
      </c>
      <c r="CT22" s="31">
        <v>0.92867756315007433</v>
      </c>
      <c r="CU22" s="31">
        <v>0.96124031007751942</v>
      </c>
      <c r="CV22" s="31">
        <v>0.9457917261055635</v>
      </c>
      <c r="CW22" s="31">
        <v>0.96246246246246248</v>
      </c>
      <c r="CX22" s="31">
        <v>0.94364166771074476</v>
      </c>
      <c r="CY22" s="31">
        <v>0.96982758620689657</v>
      </c>
      <c r="CZ22" s="31">
        <v>0.93400286944045907</v>
      </c>
      <c r="DA22" s="31">
        <v>0.92771084337349397</v>
      </c>
      <c r="DB22" s="31">
        <v>0.93623639191290819</v>
      </c>
      <c r="DC22" s="31">
        <v>0.98559077809798268</v>
      </c>
      <c r="DD22" s="31">
        <v>0.97045790251107833</v>
      </c>
      <c r="DE22" s="31">
        <v>0.98285714285714287</v>
      </c>
      <c r="DF22" s="31">
        <v>0.95809764491428029</v>
      </c>
      <c r="DG22" s="31">
        <v>0.97333333333333338</v>
      </c>
      <c r="DH22" s="31">
        <v>0.97178683385579934</v>
      </c>
      <c r="DI22" s="31">
        <v>0.98502994011976053</v>
      </c>
      <c r="DJ22" s="31">
        <v>0.98211624441132639</v>
      </c>
      <c r="DK22" s="31">
        <v>0.9732142857142857</v>
      </c>
      <c r="DL22" s="31">
        <v>0.94342507645259943</v>
      </c>
      <c r="DM22" s="31">
        <v>0.94518518518518524</v>
      </c>
      <c r="DN22" s="31">
        <v>0.96772727129604141</v>
      </c>
      <c r="DO22" s="31">
        <v>0.95754026354319177</v>
      </c>
      <c r="DP22" s="31">
        <v>0.98838896952104505</v>
      </c>
      <c r="DQ22" s="31">
        <v>0.94558823529411762</v>
      </c>
      <c r="DR22" s="31">
        <v>0.96597633136094674</v>
      </c>
      <c r="DS22" s="31">
        <v>0.97421203438395421</v>
      </c>
      <c r="DT22" s="31">
        <v>0.98832116788321167</v>
      </c>
      <c r="DU22" s="31">
        <v>0.96590909090909094</v>
      </c>
      <c r="DV22" s="31">
        <v>0.96941944184222251</v>
      </c>
      <c r="DW22" s="31">
        <v>0.92017416545718433</v>
      </c>
      <c r="DX22" s="31">
        <v>0.94412607449856734</v>
      </c>
      <c r="DY22" s="31">
        <v>0.95664739884393069</v>
      </c>
      <c r="DZ22" s="31">
        <v>0.95149786019971472</v>
      </c>
      <c r="EA22" s="31">
        <v>0.96751412429378536</v>
      </c>
      <c r="EB22" s="31">
        <v>0.96586059743954478</v>
      </c>
      <c r="EC22" s="31">
        <v>0.95892351274787535</v>
      </c>
      <c r="ED22" s="31">
        <v>0.95210624764008611</v>
      </c>
      <c r="EE22" s="31">
        <v>0.96443812233285919</v>
      </c>
      <c r="EF22" s="31">
        <v>0.95710059171597628</v>
      </c>
      <c r="EG22" s="31">
        <v>0.91371994342291374</v>
      </c>
      <c r="EH22" s="31">
        <v>0.91063829787234041</v>
      </c>
      <c r="EI22" s="31">
        <v>0.95938375350140059</v>
      </c>
      <c r="EJ22" s="31">
        <v>0.97605633802816905</v>
      </c>
      <c r="EK22" s="31">
        <v>0.971830985915493</v>
      </c>
      <c r="EL22" s="31">
        <v>0.95045257611273593</v>
      </c>
    </row>
    <row r="23" spans="2:142" x14ac:dyDescent="0.35">
      <c r="B23" s="20"/>
      <c r="C23" s="20"/>
      <c r="D23" s="20"/>
      <c r="E23" s="20"/>
      <c r="F23" s="20"/>
      <c r="G23" s="20"/>
      <c r="AL23" s="19" t="s">
        <v>77</v>
      </c>
      <c r="AM23" s="31">
        <v>0.90784313725490196</v>
      </c>
      <c r="AN23" s="31">
        <v>0.9137254901960784</v>
      </c>
      <c r="AO23" s="31">
        <v>0.896484375</v>
      </c>
      <c r="AP23" s="31">
        <v>0.93320235756385073</v>
      </c>
      <c r="AQ23" s="31">
        <v>0.91650485436893203</v>
      </c>
      <c r="AR23" s="31">
        <v>0.92678227360308285</v>
      </c>
      <c r="AS23" s="31">
        <v>0.94324853228962813</v>
      </c>
      <c r="AT23" s="31">
        <v>0.91968443146806766</v>
      </c>
      <c r="AU23" s="31">
        <v>0.93041749502982107</v>
      </c>
      <c r="AV23" s="31">
        <v>0.94280078895463515</v>
      </c>
      <c r="AW23" s="31">
        <v>0.89840637450199201</v>
      </c>
      <c r="AX23" s="31">
        <v>0.91832669322709159</v>
      </c>
      <c r="AY23" s="31">
        <v>0.9192913385826772</v>
      </c>
      <c r="AZ23" s="31">
        <v>0.91245136186770426</v>
      </c>
      <c r="BA23" s="31">
        <v>0.92801556420233466</v>
      </c>
      <c r="BB23" s="31">
        <v>0.92138708805232228</v>
      </c>
      <c r="BC23" s="31">
        <v>0.85996055226824453</v>
      </c>
      <c r="BD23" s="31">
        <v>0.91633466135458164</v>
      </c>
      <c r="BE23" s="31">
        <v>0.81673306772908372</v>
      </c>
      <c r="BF23" s="31">
        <v>0.86254980079681276</v>
      </c>
      <c r="BG23" s="31">
        <v>0.88270377733598404</v>
      </c>
      <c r="BH23" s="31">
        <v>0.91235059760956172</v>
      </c>
      <c r="BI23" s="31">
        <v>0.90039840637450197</v>
      </c>
      <c r="BJ23" s="31">
        <v>0.87871869478125286</v>
      </c>
      <c r="BK23" s="31">
        <v>0.82470119521912355</v>
      </c>
      <c r="BL23" s="31">
        <v>0.89641434262948205</v>
      </c>
      <c r="BM23" s="31">
        <v>0.75896414342629481</v>
      </c>
      <c r="BN23" s="31">
        <v>0.79083665338645415</v>
      </c>
      <c r="BO23" s="31">
        <v>0.85119047619047616</v>
      </c>
      <c r="BP23" s="31">
        <v>0.90039840637450197</v>
      </c>
      <c r="BQ23" s="31">
        <v>0.85258964143426297</v>
      </c>
      <c r="BR23" s="31">
        <v>0.83929926552294221</v>
      </c>
      <c r="BS23" s="31">
        <v>0.95019920318725104</v>
      </c>
      <c r="BT23" s="31">
        <v>0.86852589641434264</v>
      </c>
      <c r="BU23" s="31">
        <v>0.9322709163346613</v>
      </c>
      <c r="BV23" s="31">
        <v>0.89210019267822738</v>
      </c>
      <c r="BW23" s="31">
        <v>0.94621513944223112</v>
      </c>
      <c r="BX23" s="31">
        <v>0.93027888446215135</v>
      </c>
      <c r="BY23" s="31">
        <v>0.94621513944223112</v>
      </c>
      <c r="BZ23" s="31">
        <v>0.92368648170872802</v>
      </c>
      <c r="CA23" s="31">
        <v>0.9595588235294118</v>
      </c>
      <c r="CB23" s="31">
        <v>0.93678160919540232</v>
      </c>
      <c r="CC23" s="31">
        <v>0.90825688073394495</v>
      </c>
      <c r="CD23" s="31">
        <v>0.91651205936920221</v>
      </c>
      <c r="CE23" s="31">
        <v>0.93893129770992367</v>
      </c>
      <c r="CF23" s="31">
        <v>0.97565543071161054</v>
      </c>
      <c r="CG23" s="31">
        <v>0.94653465346534649</v>
      </c>
      <c r="CH23" s="31">
        <v>0.94031867924497736</v>
      </c>
      <c r="CI23" s="31">
        <v>0.92565055762081783</v>
      </c>
      <c r="CJ23" s="31">
        <v>0.94862385321100917</v>
      </c>
      <c r="CK23" s="31">
        <v>0.89077212806026362</v>
      </c>
      <c r="CL23" s="31">
        <v>0.93018867924528303</v>
      </c>
      <c r="CM23" s="31">
        <v>0.92477064220183491</v>
      </c>
      <c r="CN23" s="31">
        <v>0.95335820895522383</v>
      </c>
      <c r="CO23" s="31">
        <v>0.96195652173913049</v>
      </c>
      <c r="CP23" s="31">
        <v>0.93361722729050911</v>
      </c>
      <c r="CQ23" s="31">
        <v>0.92205323193916355</v>
      </c>
      <c r="CR23" s="31">
        <v>0.94150943396226416</v>
      </c>
      <c r="CS23" s="31">
        <v>0.88952380952380949</v>
      </c>
      <c r="CT23" s="31">
        <v>0.90304182509505704</v>
      </c>
      <c r="CU23" s="31">
        <v>0.90132827324478182</v>
      </c>
      <c r="CV23" s="31">
        <v>0.94422310756972117</v>
      </c>
      <c r="CW23" s="31">
        <v>0.92231075697211151</v>
      </c>
      <c r="CX23" s="31">
        <v>0.91771291975812985</v>
      </c>
      <c r="CY23" s="31">
        <v>0.91832669322709159</v>
      </c>
      <c r="CZ23" s="31">
        <v>0.95274102079395084</v>
      </c>
      <c r="DA23" s="31">
        <v>0.90097087378640772</v>
      </c>
      <c r="DB23" s="31">
        <v>0.90234375</v>
      </c>
      <c r="DC23" s="31">
        <v>0.95719844357976658</v>
      </c>
      <c r="DD23" s="31">
        <v>0.96103896103896103</v>
      </c>
      <c r="DE23" s="31">
        <v>0.95906432748538006</v>
      </c>
      <c r="DF23" s="31">
        <v>0.93595486713022247</v>
      </c>
      <c r="DG23" s="31">
        <v>0.94548872180451127</v>
      </c>
      <c r="DH23" s="31">
        <v>0.94695481335952847</v>
      </c>
      <c r="DI23" s="31">
        <v>0.89279112754158962</v>
      </c>
      <c r="DJ23" s="31">
        <v>0.89483747609942643</v>
      </c>
      <c r="DK23" s="31">
        <v>0.95335820895522383</v>
      </c>
      <c r="DL23" s="31">
        <v>0.97318007662835249</v>
      </c>
      <c r="DM23" s="31">
        <v>0.94040968342644315</v>
      </c>
      <c r="DN23" s="31">
        <v>0.93528858683072502</v>
      </c>
      <c r="DO23" s="31">
        <v>0.88235294117647056</v>
      </c>
      <c r="DP23" s="31">
        <v>0.97120921305182339</v>
      </c>
      <c r="DQ23" s="31">
        <v>0.86964618249534453</v>
      </c>
      <c r="DR23" s="31">
        <v>0.89532710280373828</v>
      </c>
      <c r="DS23" s="31">
        <v>0.91881918819188191</v>
      </c>
      <c r="DT23" s="31">
        <v>0.9269662921348315</v>
      </c>
      <c r="DU23" s="31">
        <v>0.91806331471135938</v>
      </c>
      <c r="DV23" s="31">
        <v>0.9117691763664928</v>
      </c>
      <c r="DW23" s="31">
        <v>0.90036900369003692</v>
      </c>
      <c r="DX23" s="31">
        <v>0.96289424860853434</v>
      </c>
      <c r="DY23" s="31">
        <v>0.89830508474576276</v>
      </c>
      <c r="DZ23" s="31">
        <v>0.90467289719626165</v>
      </c>
      <c r="EA23" s="31">
        <v>0.93211009174311932</v>
      </c>
      <c r="EB23" s="31">
        <v>0.96685082872928174</v>
      </c>
      <c r="EC23" s="31">
        <v>0.94495412844036697</v>
      </c>
      <c r="ED23" s="31">
        <v>0.93002232616476632</v>
      </c>
      <c r="EE23" s="31">
        <v>0.91433891992551208</v>
      </c>
      <c r="EF23" s="31">
        <v>0.95910780669144979</v>
      </c>
      <c r="EG23" s="31">
        <v>0.90352504638218922</v>
      </c>
      <c r="EH23" s="31">
        <v>0.87334593572778829</v>
      </c>
      <c r="EI23" s="31">
        <v>0.94639556377079481</v>
      </c>
      <c r="EJ23" s="31">
        <v>0.96851851851851856</v>
      </c>
      <c r="EK23" s="31">
        <v>0.97206703910614523</v>
      </c>
      <c r="EL23" s="31">
        <v>0.93389983287462819</v>
      </c>
    </row>
    <row r="24" spans="2:142" x14ac:dyDescent="0.35">
      <c r="B24" s="20"/>
      <c r="C24" s="20"/>
      <c r="D24" s="20"/>
      <c r="E24" s="20"/>
      <c r="F24" s="20"/>
      <c r="G24" s="20"/>
      <c r="AL24" s="19" t="s">
        <v>78</v>
      </c>
      <c r="AM24" s="31">
        <v>0.96235294117647063</v>
      </c>
      <c r="AN24" s="31">
        <v>0.94158878504672894</v>
      </c>
      <c r="AO24" s="31">
        <v>0.96948356807511737</v>
      </c>
      <c r="AP24" s="31">
        <v>0.96100917431192656</v>
      </c>
      <c r="AQ24" s="31">
        <v>0.93661971830985913</v>
      </c>
      <c r="AR24" s="31">
        <v>0.96279069767441861</v>
      </c>
      <c r="AS24" s="31">
        <v>0.94883720930232562</v>
      </c>
      <c r="AT24" s="31">
        <v>0.95466887055669247</v>
      </c>
      <c r="AU24" s="31">
        <v>0.95183486238532111</v>
      </c>
      <c r="AV24" s="31">
        <v>0.9610983981693364</v>
      </c>
      <c r="AW24" s="31">
        <v>0.9044444444444445</v>
      </c>
      <c r="AX24" s="31">
        <v>0.94063926940639264</v>
      </c>
      <c r="AY24" s="31">
        <v>0.9655963302752294</v>
      </c>
      <c r="AZ24" s="31">
        <v>0.96338672768878719</v>
      </c>
      <c r="BA24" s="31">
        <v>0.9634703196347032</v>
      </c>
      <c r="BB24" s="31">
        <v>0.95006719314345922</v>
      </c>
      <c r="BC24" s="31">
        <v>0.91228070175438591</v>
      </c>
      <c r="BD24" s="31">
        <v>0.91721132897603486</v>
      </c>
      <c r="BE24" s="31">
        <v>0.88716814159292035</v>
      </c>
      <c r="BF24" s="31">
        <v>0.9385342789598109</v>
      </c>
      <c r="BG24" s="31">
        <v>0.95804195804195802</v>
      </c>
      <c r="BH24" s="31">
        <v>0.9330357142857143</v>
      </c>
      <c r="BI24" s="31">
        <v>0.9632183908045977</v>
      </c>
      <c r="BJ24" s="31">
        <v>0.92992721634506037</v>
      </c>
      <c r="BK24" s="31">
        <v>0.9177057356608479</v>
      </c>
      <c r="BL24" s="31">
        <v>0.94588235294117651</v>
      </c>
      <c r="BM24" s="31">
        <v>0.81343283582089554</v>
      </c>
      <c r="BN24" s="31">
        <v>0.87948717948717947</v>
      </c>
      <c r="BO24" s="31">
        <v>0.96568627450980393</v>
      </c>
      <c r="BP24" s="31">
        <v>0.93764988009592332</v>
      </c>
      <c r="BQ24" s="31">
        <v>0.94430992736077479</v>
      </c>
      <c r="BR24" s="31">
        <v>0.91487916941094316</v>
      </c>
      <c r="BS24" s="31">
        <v>0.96912114014251782</v>
      </c>
      <c r="BT24" s="31">
        <v>0.91989664082687339</v>
      </c>
      <c r="BU24" s="31">
        <v>0.95952380952380956</v>
      </c>
      <c r="BV24" s="31">
        <v>0.95990566037735847</v>
      </c>
      <c r="BW24" s="31">
        <v>0.88968824940047964</v>
      </c>
      <c r="BX24" s="31">
        <v>0.93796526054590568</v>
      </c>
      <c r="BY24" s="31">
        <v>0.95971563981042651</v>
      </c>
      <c r="BZ24" s="31">
        <v>0.94225948580391006</v>
      </c>
      <c r="CA24" s="31">
        <v>0.97411764705882353</v>
      </c>
      <c r="CB24" s="31">
        <v>0.95652173913043481</v>
      </c>
      <c r="CC24" s="31">
        <v>0.98305084745762716</v>
      </c>
      <c r="CD24" s="31">
        <v>0.96100917431192656</v>
      </c>
      <c r="CE24" s="31">
        <v>0.97482837528604116</v>
      </c>
      <c r="CF24" s="31">
        <v>0.93018018018018023</v>
      </c>
      <c r="CG24" s="31">
        <v>0.96091954022988502</v>
      </c>
      <c r="CH24" s="31">
        <v>0.96294678623641694</v>
      </c>
      <c r="CI24" s="31">
        <v>0.95571095571095566</v>
      </c>
      <c r="CJ24" s="31">
        <v>0.97471264367816091</v>
      </c>
      <c r="CK24" s="31">
        <v>0.95612009237875284</v>
      </c>
      <c r="CL24" s="31">
        <v>0.94736842105263153</v>
      </c>
      <c r="CM24" s="31">
        <v>0.96962616822429903</v>
      </c>
      <c r="CN24" s="31">
        <v>0.92063492063492058</v>
      </c>
      <c r="CO24" s="31">
        <v>0.95927601809954754</v>
      </c>
      <c r="CP24" s="31">
        <v>0.95477845996846689</v>
      </c>
      <c r="CQ24" s="31">
        <v>0.9569377990430622</v>
      </c>
      <c r="CR24" s="31">
        <v>0.96590909090909094</v>
      </c>
      <c r="CS24" s="31">
        <v>0.96437054631828978</v>
      </c>
      <c r="CT24" s="31">
        <v>0.92907801418439717</v>
      </c>
      <c r="CU24" s="31">
        <v>0.98568019093078763</v>
      </c>
      <c r="CV24" s="31">
        <v>0.95560747663551404</v>
      </c>
      <c r="CW24" s="31">
        <v>0.93764988009592332</v>
      </c>
      <c r="CX24" s="31">
        <v>0.95646185687386631</v>
      </c>
      <c r="CY24" s="31">
        <v>0.97964376590330793</v>
      </c>
      <c r="CZ24" s="31">
        <v>0.9761336515513126</v>
      </c>
      <c r="DA24" s="31">
        <v>0.85496183206106868</v>
      </c>
      <c r="DB24" s="31">
        <v>0.96296296296296291</v>
      </c>
      <c r="DC24" s="31">
        <v>0.95685279187817263</v>
      </c>
      <c r="DD24" s="31">
        <v>0.96296296296296291</v>
      </c>
      <c r="DE24" s="31">
        <v>0.97766749379652607</v>
      </c>
      <c r="DF24" s="31">
        <v>0.95302649444518761</v>
      </c>
      <c r="DG24" s="31">
        <v>0.96097560975609753</v>
      </c>
      <c r="DH24" s="31">
        <v>0.96844660194174759</v>
      </c>
      <c r="DI24" s="31">
        <v>0.95354523227383858</v>
      </c>
      <c r="DJ24" s="31">
        <v>0.970873786407767</v>
      </c>
      <c r="DK24" s="31">
        <v>0.97536945812807885</v>
      </c>
      <c r="DL24" s="31">
        <v>0.97815533980582525</v>
      </c>
      <c r="DM24" s="31">
        <v>0.92821782178217827</v>
      </c>
      <c r="DN24" s="31">
        <v>0.96222626429936187</v>
      </c>
      <c r="DO24" s="31">
        <v>0.9375</v>
      </c>
      <c r="DP24" s="31">
        <v>0.98296836982968372</v>
      </c>
      <c r="DQ24" s="31">
        <v>0.92071611253196928</v>
      </c>
      <c r="DR24" s="31">
        <v>0.95324675324675323</v>
      </c>
      <c r="DS24" s="31">
        <v>0.95061728395061729</v>
      </c>
      <c r="DT24" s="31">
        <v>0.96875</v>
      </c>
      <c r="DU24" s="31">
        <v>0.97596153846153844</v>
      </c>
      <c r="DV24" s="31">
        <v>0.95568000828865163</v>
      </c>
      <c r="DW24" s="31">
        <v>0.96700507614213194</v>
      </c>
      <c r="DX24" s="31">
        <v>0.93455497382198949</v>
      </c>
      <c r="DY24" s="31">
        <v>0.96473551637279598</v>
      </c>
      <c r="DZ24" s="31">
        <v>0.97715736040609136</v>
      </c>
      <c r="EA24" s="31">
        <v>0.96675191815856776</v>
      </c>
      <c r="EB24" s="31">
        <v>0.94117647058823528</v>
      </c>
      <c r="EC24" s="31">
        <v>0.96266666666666667</v>
      </c>
      <c r="ED24" s="31">
        <v>0.95914971173663977</v>
      </c>
      <c r="EE24" s="31">
        <v>0.96250000000000002</v>
      </c>
      <c r="EF24" s="31">
        <v>0.97208121827411165</v>
      </c>
      <c r="EG24" s="31">
        <v>0.95717884130982367</v>
      </c>
      <c r="EH24" s="31">
        <v>0.95792079207920788</v>
      </c>
      <c r="EI24" s="31">
        <v>0.96733668341708545</v>
      </c>
      <c r="EJ24" s="31">
        <v>0.93301435406698563</v>
      </c>
      <c r="EK24" s="31">
        <v>0.97022332506203479</v>
      </c>
      <c r="EL24" s="31">
        <v>0.96003645917274982</v>
      </c>
    </row>
    <row r="25" spans="2:142" x14ac:dyDescent="0.35">
      <c r="B25" s="20"/>
      <c r="C25" s="20"/>
      <c r="D25" s="20"/>
      <c r="E25" s="20"/>
      <c r="F25" s="20"/>
      <c r="G25" s="20"/>
      <c r="AL25" s="19" t="s">
        <v>79</v>
      </c>
      <c r="AM25" s="31">
        <v>0.89667049368541907</v>
      </c>
      <c r="AN25" s="31">
        <v>0.82726204465334896</v>
      </c>
      <c r="AO25" s="31">
        <v>0.86498855835240274</v>
      </c>
      <c r="AP25" s="31">
        <v>0.87041284403669728</v>
      </c>
      <c r="AQ25" s="31">
        <v>0.89552238805970152</v>
      </c>
      <c r="AR25" s="31">
        <v>0.85348837209302331</v>
      </c>
      <c r="AS25" s="31">
        <v>0.87917146144994252</v>
      </c>
      <c r="AT25" s="31">
        <v>0.86964516604721942</v>
      </c>
      <c r="AU25" s="31">
        <v>0.93187066974595845</v>
      </c>
      <c r="AV25" s="31">
        <v>0.85730593607305938</v>
      </c>
      <c r="AW25" s="31">
        <v>0.91193511008111239</v>
      </c>
      <c r="AX25" s="31">
        <v>0.85034802784222741</v>
      </c>
      <c r="AY25" s="31">
        <v>0.92652123995407576</v>
      </c>
      <c r="AZ25" s="31">
        <v>0.9097142857142857</v>
      </c>
      <c r="BA25" s="31">
        <v>0.91314285714285715</v>
      </c>
      <c r="BB25" s="31">
        <v>0.90011973236479659</v>
      </c>
      <c r="BC25" s="31">
        <v>0.86751152073732718</v>
      </c>
      <c r="BD25" s="31">
        <v>0.84704519119351096</v>
      </c>
      <c r="BE25" s="31">
        <v>0.85944700460829493</v>
      </c>
      <c r="BF25" s="31">
        <v>0.80254041570438794</v>
      </c>
      <c r="BG25" s="31">
        <v>0.88824884792626724</v>
      </c>
      <c r="BH25" s="31">
        <v>0.90448791714614496</v>
      </c>
      <c r="BI25" s="31">
        <v>0.8655172413793103</v>
      </c>
      <c r="BJ25" s="31">
        <v>0.86211401981360614</v>
      </c>
      <c r="BK25" s="31">
        <v>0.76941457586618878</v>
      </c>
      <c r="BL25" s="31">
        <v>0.80389908256880738</v>
      </c>
      <c r="BM25" s="31">
        <v>0.74970059880239526</v>
      </c>
      <c r="BN25" s="31">
        <v>0.63952095808383236</v>
      </c>
      <c r="BO25" s="31">
        <v>0.81947743467933487</v>
      </c>
      <c r="BP25" s="31">
        <v>0.82648401826484019</v>
      </c>
      <c r="BQ25" s="31">
        <v>0.86002372479240807</v>
      </c>
      <c r="BR25" s="31">
        <v>0.78121719900825803</v>
      </c>
      <c r="BS25" s="31">
        <v>0.86223277909738716</v>
      </c>
      <c r="BT25" s="31">
        <v>0.65149700598802396</v>
      </c>
      <c r="BU25" s="31">
        <v>0.80878859857482188</v>
      </c>
      <c r="BV25" s="31">
        <v>0.74343675417661093</v>
      </c>
      <c r="BW25" s="31">
        <v>0.80664294187425856</v>
      </c>
      <c r="BX25" s="31">
        <v>0.72455089820359286</v>
      </c>
      <c r="BY25" s="31">
        <v>0.77791116446578634</v>
      </c>
      <c r="BZ25" s="31">
        <v>0.76786573462578311</v>
      </c>
      <c r="CA25" s="31">
        <v>0.87889688249400477</v>
      </c>
      <c r="CB25" s="31">
        <v>0.80167264038231778</v>
      </c>
      <c r="CC25" s="31">
        <v>0.88187134502923981</v>
      </c>
      <c r="CD25" s="31">
        <v>0.83663943990665113</v>
      </c>
      <c r="CE25" s="31">
        <v>0.85238095238095235</v>
      </c>
      <c r="CF25" s="31">
        <v>0.83054892601431984</v>
      </c>
      <c r="CG25" s="31">
        <v>0.87947494033412887</v>
      </c>
      <c r="CH25" s="31">
        <v>0.8516407323630879</v>
      </c>
      <c r="CI25" s="31">
        <v>0.85865724381625441</v>
      </c>
      <c r="CJ25" s="31">
        <v>0.83726415094339623</v>
      </c>
      <c r="CK25" s="31">
        <v>0.83294117647058818</v>
      </c>
      <c r="CL25" s="31">
        <v>0.7890995260663507</v>
      </c>
      <c r="CM25" s="31">
        <v>0.88249118683901295</v>
      </c>
      <c r="CN25" s="31">
        <v>0.86406619385342787</v>
      </c>
      <c r="CO25" s="31">
        <v>0.86267605633802813</v>
      </c>
      <c r="CP25" s="31">
        <v>0.84674221918957981</v>
      </c>
      <c r="CQ25" s="31">
        <v>0.82742316784869974</v>
      </c>
      <c r="CR25" s="31">
        <v>0.8004750593824228</v>
      </c>
      <c r="CS25" s="31">
        <v>0.84248210023866343</v>
      </c>
      <c r="CT25" s="31">
        <v>0.79742388758782201</v>
      </c>
      <c r="CU25" s="31">
        <v>0.85971223021582732</v>
      </c>
      <c r="CV25" s="31">
        <v>0.86731001206272618</v>
      </c>
      <c r="CW25" s="31">
        <v>0.87515006002400964</v>
      </c>
      <c r="CX25" s="31">
        <v>0.83856807390859589</v>
      </c>
      <c r="CY25" s="31">
        <v>0.88377723970944311</v>
      </c>
      <c r="CZ25" s="31">
        <v>0.82130177514792901</v>
      </c>
      <c r="DA25" s="31">
        <v>0.85060240963855427</v>
      </c>
      <c r="DB25" s="31">
        <v>0.78240190249702735</v>
      </c>
      <c r="DC25" s="31">
        <v>0.85765983112183353</v>
      </c>
      <c r="DD25" s="31">
        <v>0.84687868080094231</v>
      </c>
      <c r="DE25" s="31">
        <v>0.86325802615933411</v>
      </c>
      <c r="DF25" s="31">
        <v>0.84369712358215199</v>
      </c>
      <c r="DG25" s="31">
        <v>0.86483253588516751</v>
      </c>
      <c r="DH25" s="31">
        <v>0.81093935790725324</v>
      </c>
      <c r="DI25" s="31">
        <v>0.90097799511002441</v>
      </c>
      <c r="DJ25" s="31">
        <v>0.84096385542168672</v>
      </c>
      <c r="DK25" s="31">
        <v>0.8573127229488704</v>
      </c>
      <c r="DL25" s="31">
        <v>0.87590361445783127</v>
      </c>
      <c r="DM25" s="31">
        <v>0.87454764776839566</v>
      </c>
      <c r="DN25" s="31">
        <v>0.86078253278560413</v>
      </c>
      <c r="DO25" s="31">
        <v>0.8447058823529412</v>
      </c>
      <c r="DP25" s="31">
        <v>0.83832335329341312</v>
      </c>
      <c r="DQ25" s="31">
        <v>0.84042553191489366</v>
      </c>
      <c r="DR25" s="31">
        <v>0.8007075471698113</v>
      </c>
      <c r="DS25" s="31">
        <v>0.86146682188591384</v>
      </c>
      <c r="DT25" s="31">
        <v>0.88043478260869568</v>
      </c>
      <c r="DU25" s="31">
        <v>0.87603305785123964</v>
      </c>
      <c r="DV25" s="31">
        <v>0.84887099672527255</v>
      </c>
      <c r="DW25" s="31">
        <v>0.88719153936545236</v>
      </c>
      <c r="DX25" s="31">
        <v>0.81463990554899646</v>
      </c>
      <c r="DY25" s="31">
        <v>0.88457008244994106</v>
      </c>
      <c r="DZ25" s="31">
        <v>0.83392226148409898</v>
      </c>
      <c r="EA25" s="31">
        <v>0.87281213535589264</v>
      </c>
      <c r="EB25" s="31">
        <v>0.89341317365269457</v>
      </c>
      <c r="EC25" s="31">
        <v>0.87028301886792447</v>
      </c>
      <c r="ED25" s="31">
        <v>0.86526173096071435</v>
      </c>
      <c r="EE25" s="31">
        <v>0.86572438162544174</v>
      </c>
      <c r="EF25" s="31">
        <v>0.85476190476190472</v>
      </c>
      <c r="EG25" s="31">
        <v>0.85579196217494091</v>
      </c>
      <c r="EH25" s="31">
        <v>0.82509047044632089</v>
      </c>
      <c r="EI25" s="31">
        <v>0.88242280285035635</v>
      </c>
      <c r="EJ25" s="31">
        <v>0.88452380952380949</v>
      </c>
      <c r="EK25" s="31">
        <v>0.89060642092746733</v>
      </c>
      <c r="EL25" s="31">
        <v>0.86556025033003448</v>
      </c>
    </row>
    <row r="26" spans="2:142" x14ac:dyDescent="0.35">
      <c r="B26" s="20"/>
      <c r="C26" s="20"/>
      <c r="D26" s="20"/>
      <c r="E26" s="20"/>
      <c r="F26" s="20"/>
      <c r="G26" s="20"/>
      <c r="AL26" s="19" t="s">
        <v>80</v>
      </c>
      <c r="AM26" s="31">
        <v>0.9874476987447699</v>
      </c>
      <c r="AN26" s="31">
        <v>0.9874476987447699</v>
      </c>
      <c r="AO26" s="31">
        <v>0.9853556485355649</v>
      </c>
      <c r="AP26" s="31">
        <v>0.9895397489539749</v>
      </c>
      <c r="AQ26" s="31">
        <v>0.9874476987447699</v>
      </c>
      <c r="AR26" s="31">
        <v>0.99163179916317989</v>
      </c>
      <c r="AS26" s="31">
        <v>0.9853556485355649</v>
      </c>
      <c r="AT26" s="31">
        <v>0.98774656306037056</v>
      </c>
      <c r="AU26" s="31">
        <v>1</v>
      </c>
      <c r="AV26" s="31">
        <v>0.9853556485355649</v>
      </c>
      <c r="AW26" s="31">
        <v>0.98742138364779874</v>
      </c>
      <c r="AX26" s="31">
        <v>0.99581589958159</v>
      </c>
      <c r="AY26" s="31">
        <v>0.97698744769874479</v>
      </c>
      <c r="AZ26" s="31">
        <v>0.9874476987447699</v>
      </c>
      <c r="BA26" s="31">
        <v>0.97698744769874479</v>
      </c>
      <c r="BB26" s="31">
        <v>0.98714507512960192</v>
      </c>
      <c r="BC26" s="31">
        <v>0.98326359832635979</v>
      </c>
      <c r="BD26" s="31">
        <v>0.99163179916317989</v>
      </c>
      <c r="BE26" s="31">
        <v>0.97693920335429774</v>
      </c>
      <c r="BF26" s="31">
        <v>0.98747390396659707</v>
      </c>
      <c r="BG26" s="31">
        <v>0.99163179916317989</v>
      </c>
      <c r="BH26" s="31">
        <v>0.98322851153039836</v>
      </c>
      <c r="BI26" s="31">
        <v>0.97698744769874479</v>
      </c>
      <c r="BJ26" s="31">
        <v>0.98445089474325109</v>
      </c>
      <c r="BK26" s="31">
        <v>0.96250000000000002</v>
      </c>
      <c r="BL26" s="31">
        <v>0.97494780793319413</v>
      </c>
      <c r="BM26" s="31">
        <v>0.95</v>
      </c>
      <c r="BN26" s="31">
        <v>0.95</v>
      </c>
      <c r="BO26" s="31">
        <v>0.98124999999999996</v>
      </c>
      <c r="BP26" s="31">
        <v>0.99375000000000002</v>
      </c>
      <c r="BQ26" s="31">
        <v>0.98958333333333337</v>
      </c>
      <c r="BR26" s="31">
        <v>0.97171873446664681</v>
      </c>
      <c r="BS26" s="31">
        <v>0.98178137651821862</v>
      </c>
      <c r="BT26" s="31">
        <v>0.98124999999999996</v>
      </c>
      <c r="BU26" s="31">
        <v>0.96280087527352298</v>
      </c>
      <c r="BV26" s="31">
        <v>0.98030634573304154</v>
      </c>
      <c r="BW26" s="31">
        <v>0.98174442190669375</v>
      </c>
      <c r="BX26" s="31">
        <v>0.98364008179959095</v>
      </c>
      <c r="BY26" s="31">
        <v>0.98973305954825463</v>
      </c>
      <c r="BZ26" s="31">
        <v>0.98017945153990316</v>
      </c>
      <c r="CA26" s="31">
        <v>0.96559139784946235</v>
      </c>
      <c r="CB26" s="31">
        <v>0.99132321041214755</v>
      </c>
      <c r="CC26" s="31">
        <v>0.94623655913978499</v>
      </c>
      <c r="CD26" s="31">
        <v>0.96739130434782605</v>
      </c>
      <c r="CE26" s="31">
        <v>0.96465696465696471</v>
      </c>
      <c r="CF26" s="31">
        <v>0.98960498960498966</v>
      </c>
      <c r="CG26" s="31">
        <v>0.9854469854469855</v>
      </c>
      <c r="CH26" s="31">
        <v>0.97289305877973742</v>
      </c>
      <c r="CI26" s="31">
        <v>0.97204301075268817</v>
      </c>
      <c r="CJ26" s="31">
        <v>0.97413793103448276</v>
      </c>
      <c r="CK26" s="31">
        <v>0.97419354838709682</v>
      </c>
      <c r="CL26" s="31">
        <v>0.97634408602150535</v>
      </c>
      <c r="CM26" s="31">
        <v>0.97180043383947934</v>
      </c>
      <c r="CN26" s="31">
        <v>0.98922413793103448</v>
      </c>
      <c r="CO26" s="31">
        <v>0.98275862068965514</v>
      </c>
      <c r="CP26" s="31">
        <v>0.97721453837942018</v>
      </c>
      <c r="CQ26" s="31">
        <v>0.98279569892473118</v>
      </c>
      <c r="CR26" s="31">
        <v>0.97830802603036882</v>
      </c>
      <c r="CS26" s="31">
        <v>0.98494623655913982</v>
      </c>
      <c r="CT26" s="31">
        <v>0.97180043383947934</v>
      </c>
      <c r="CU26" s="31">
        <v>0.99139784946236564</v>
      </c>
      <c r="CV26" s="31">
        <v>0.95878524945770061</v>
      </c>
      <c r="CW26" s="31">
        <v>0.96129032258064517</v>
      </c>
      <c r="CX26" s="31">
        <v>0.9756176881220614</v>
      </c>
      <c r="CY26" s="31">
        <v>0.97430406852248397</v>
      </c>
      <c r="CZ26" s="31">
        <v>0.99357601713062094</v>
      </c>
      <c r="DA26" s="31">
        <v>0.98301486199575372</v>
      </c>
      <c r="DB26" s="31">
        <v>0.98715203426124198</v>
      </c>
      <c r="DC26" s="31">
        <v>0.98089171974522293</v>
      </c>
      <c r="DD26" s="31">
        <v>0.98715203426124198</v>
      </c>
      <c r="DE26" s="31">
        <v>0.98089171974522293</v>
      </c>
      <c r="DF26" s="31">
        <v>0.98385463652311256</v>
      </c>
      <c r="DG26" s="31">
        <v>0.94432548179871523</v>
      </c>
      <c r="DH26" s="31">
        <v>0.99357601713062094</v>
      </c>
      <c r="DI26" s="31">
        <v>0.96390658174097665</v>
      </c>
      <c r="DJ26" s="31">
        <v>0.98072805139186292</v>
      </c>
      <c r="DK26" s="31">
        <v>0.97430406852248397</v>
      </c>
      <c r="DL26" s="31">
        <v>1</v>
      </c>
      <c r="DM26" s="31">
        <v>0.99357601713062094</v>
      </c>
      <c r="DN26" s="31">
        <v>0.97863088824504008</v>
      </c>
      <c r="DO26" s="31">
        <v>0.97452229299363058</v>
      </c>
      <c r="DP26" s="31">
        <v>0.99571734475374729</v>
      </c>
      <c r="DQ26" s="31">
        <v>0.9678800856531049</v>
      </c>
      <c r="DR26" s="31">
        <v>0.96602972399150744</v>
      </c>
      <c r="DS26" s="31">
        <v>0.97452229299363058</v>
      </c>
      <c r="DT26" s="31">
        <v>0.97452229299363058</v>
      </c>
      <c r="DU26" s="31">
        <v>0.97452229299363058</v>
      </c>
      <c r="DV26" s="31">
        <v>0.97538804662469747</v>
      </c>
      <c r="DW26" s="31">
        <v>0.97430406852248397</v>
      </c>
      <c r="DX26" s="31">
        <v>0.97452229299363058</v>
      </c>
      <c r="DY26" s="31">
        <v>0.94479830148619959</v>
      </c>
      <c r="DZ26" s="31">
        <v>0.94904458598726116</v>
      </c>
      <c r="EA26" s="31">
        <v>0.97452229299363058</v>
      </c>
      <c r="EB26" s="31">
        <v>0.97452229299363058</v>
      </c>
      <c r="EC26" s="31">
        <v>0.97452229299363058</v>
      </c>
      <c r="ED26" s="31">
        <v>0.96660516113863815</v>
      </c>
      <c r="EE26" s="31">
        <v>0.98089171974522293</v>
      </c>
      <c r="EF26" s="31">
        <v>0.97452229299363058</v>
      </c>
      <c r="EG26" s="31">
        <v>0.96602972399150744</v>
      </c>
      <c r="EH26" s="31">
        <v>0.97234042553191491</v>
      </c>
      <c r="EI26" s="31">
        <v>0.9851380042462845</v>
      </c>
      <c r="EJ26" s="31">
        <v>0.96815286624203822</v>
      </c>
      <c r="EK26" s="31">
        <v>0.94904458598726116</v>
      </c>
      <c r="EL26" s="31">
        <v>0.97087423124826555</v>
      </c>
    </row>
    <row r="27" spans="2:142" x14ac:dyDescent="0.35">
      <c r="B27" s="20"/>
      <c r="C27" s="20"/>
      <c r="D27" s="20"/>
      <c r="E27" s="20"/>
      <c r="F27" s="20"/>
      <c r="G27" s="20"/>
      <c r="AL27" s="19" t="s">
        <v>81</v>
      </c>
      <c r="AM27" s="31">
        <v>0.93799999999999994</v>
      </c>
      <c r="AN27" s="31">
        <v>0.94257425742574252</v>
      </c>
      <c r="AO27" s="31">
        <v>0.92540322580645162</v>
      </c>
      <c r="AP27" s="31">
        <v>0.9251012145748988</v>
      </c>
      <c r="AQ27" s="31">
        <v>0.93987975951903813</v>
      </c>
      <c r="AR27" s="31">
        <v>0.93798449612403101</v>
      </c>
      <c r="AS27" s="31">
        <v>0.94716242661448136</v>
      </c>
      <c r="AT27" s="31">
        <v>0.93658648286637758</v>
      </c>
      <c r="AU27" s="31">
        <v>0.95009980039920161</v>
      </c>
      <c r="AV27" s="31">
        <v>0.94129158512720157</v>
      </c>
      <c r="AW27" s="31">
        <v>0.94466403162055335</v>
      </c>
      <c r="AX27" s="31">
        <v>0.95078740157480313</v>
      </c>
      <c r="AY27" s="31">
        <v>0.95516569200779722</v>
      </c>
      <c r="AZ27" s="31">
        <v>0.94797687861271673</v>
      </c>
      <c r="BA27" s="31">
        <v>0.94951456310679616</v>
      </c>
      <c r="BB27" s="31">
        <v>0.94849999320700995</v>
      </c>
      <c r="BC27" s="31">
        <v>0.96545105566218814</v>
      </c>
      <c r="BD27" s="31">
        <v>0.95038167938931295</v>
      </c>
      <c r="BE27" s="31">
        <v>0.94354838709677424</v>
      </c>
      <c r="BF27" s="31">
        <v>0.94726166328600403</v>
      </c>
      <c r="BG27" s="31">
        <v>0.95953757225433522</v>
      </c>
      <c r="BH27" s="31">
        <v>0.95769230769230773</v>
      </c>
      <c r="BI27" s="31">
        <v>0.96183206106870234</v>
      </c>
      <c r="BJ27" s="31">
        <v>0.9551006752070893</v>
      </c>
      <c r="BK27" s="31">
        <v>0.89804772234273322</v>
      </c>
      <c r="BL27" s="31">
        <v>0.95669291338582674</v>
      </c>
      <c r="BM27" s="31">
        <v>0.80931263858093128</v>
      </c>
      <c r="BN27" s="31">
        <v>0.80530973451327437</v>
      </c>
      <c r="BO27" s="31">
        <v>0.93907563025210083</v>
      </c>
      <c r="BP27" s="31">
        <v>0.95</v>
      </c>
      <c r="BQ27" s="31">
        <v>0.93347193347193347</v>
      </c>
      <c r="BR27" s="31">
        <v>0.89884436750668573</v>
      </c>
      <c r="BS27" s="31">
        <v>0.94422310756972117</v>
      </c>
      <c r="BT27" s="31">
        <v>0.87061403508771928</v>
      </c>
      <c r="BU27" s="31">
        <v>0.93237704918032782</v>
      </c>
      <c r="BV27" s="31">
        <v>0.92960662525879922</v>
      </c>
      <c r="BW27" s="31">
        <v>0.94176706827309242</v>
      </c>
      <c r="BX27" s="31">
        <v>0.91772151898734178</v>
      </c>
      <c r="BY27" s="31">
        <v>0.93587174348697399</v>
      </c>
      <c r="BZ27" s="31">
        <v>0.92459730683485364</v>
      </c>
      <c r="CA27" s="31">
        <v>0.947265625</v>
      </c>
      <c r="CB27" s="31">
        <v>0.93711967545638941</v>
      </c>
      <c r="CC27" s="31">
        <v>0.93158953722334004</v>
      </c>
      <c r="CD27" s="31">
        <v>0.92941176470588238</v>
      </c>
      <c r="CE27" s="31">
        <v>0.95145631067961167</v>
      </c>
      <c r="CF27" s="31">
        <v>0.93668528864059586</v>
      </c>
      <c r="CG27" s="31">
        <v>0.96551724137931039</v>
      </c>
      <c r="CH27" s="31">
        <v>0.94272077758358996</v>
      </c>
      <c r="CI27" s="31">
        <v>0.9477756286266924</v>
      </c>
      <c r="CJ27" s="31">
        <v>0.95038167938931295</v>
      </c>
      <c r="CK27" s="31">
        <v>0.93041749502982107</v>
      </c>
      <c r="CL27" s="31">
        <v>0.91960784313725485</v>
      </c>
      <c r="CM27" s="31">
        <v>0.96015180265654654</v>
      </c>
      <c r="CN27" s="31">
        <v>0.93846153846153846</v>
      </c>
      <c r="CO27" s="31">
        <v>0.94569288389513106</v>
      </c>
      <c r="CP27" s="31">
        <v>0.94178412445661397</v>
      </c>
      <c r="CQ27" s="31">
        <v>0.93822393822393824</v>
      </c>
      <c r="CR27" s="31">
        <v>0.91015625</v>
      </c>
      <c r="CS27" s="31">
        <v>0.91750503018108653</v>
      </c>
      <c r="CT27" s="31">
        <v>0.92397660818713445</v>
      </c>
      <c r="CU27" s="31">
        <v>0.9458413926499033</v>
      </c>
      <c r="CV27" s="31">
        <v>0.9262135922330097</v>
      </c>
      <c r="CW27" s="31">
        <v>0.94941634241245132</v>
      </c>
      <c r="CX27" s="31">
        <v>0.93019045055536054</v>
      </c>
      <c r="CY27" s="31">
        <v>0.93486590038314177</v>
      </c>
      <c r="CZ27" s="31">
        <v>0.92500000000000004</v>
      </c>
      <c r="DA27" s="31">
        <v>0.90944123314065506</v>
      </c>
      <c r="DB27" s="31">
        <v>0.92500000000000004</v>
      </c>
      <c r="DC27" s="31">
        <v>0.9476635514018692</v>
      </c>
      <c r="DD27" s="31">
        <v>0.947069943289225</v>
      </c>
      <c r="DE27" s="31">
        <v>0.949438202247191</v>
      </c>
      <c r="DF27" s="31">
        <v>0.93406840435172611</v>
      </c>
      <c r="DG27" s="31">
        <v>0.92843691148775898</v>
      </c>
      <c r="DH27" s="31">
        <v>0.93109869646182497</v>
      </c>
      <c r="DI27" s="31">
        <v>0.88649706457925637</v>
      </c>
      <c r="DJ27" s="31">
        <v>0.89823874755381605</v>
      </c>
      <c r="DK27" s="31">
        <v>0.93071161048689144</v>
      </c>
      <c r="DL27" s="31">
        <v>0.93320964749536173</v>
      </c>
      <c r="DM27" s="31">
        <v>0.94485294117647056</v>
      </c>
      <c r="DN27" s="31">
        <v>0.92186365989162578</v>
      </c>
      <c r="DO27" s="31">
        <v>0.93421052631578949</v>
      </c>
      <c r="DP27" s="31">
        <v>0.91030534351145043</v>
      </c>
      <c r="DQ27" s="31">
        <v>0.91650485436893203</v>
      </c>
      <c r="DR27" s="31">
        <v>0.91456310679611652</v>
      </c>
      <c r="DS27" s="31">
        <v>0.93245778611632268</v>
      </c>
      <c r="DT27" s="31">
        <v>0.92421441774491686</v>
      </c>
      <c r="DU27" s="31">
        <v>0.9285714285714286</v>
      </c>
      <c r="DV27" s="31">
        <v>0.92297535191785085</v>
      </c>
      <c r="DW27" s="31">
        <v>0.94776119402985071</v>
      </c>
      <c r="DX27" s="31">
        <v>0.92537313432835822</v>
      </c>
      <c r="DY27" s="31">
        <v>0.9438202247191011</v>
      </c>
      <c r="DZ27" s="31">
        <v>0.94538606403013181</v>
      </c>
      <c r="EA27" s="31">
        <v>0.95404411764705888</v>
      </c>
      <c r="EB27" s="31">
        <v>0.94160583941605835</v>
      </c>
      <c r="EC27" s="31">
        <v>0.94485294117647056</v>
      </c>
      <c r="ED27" s="31">
        <v>0.94326335933528982</v>
      </c>
      <c r="EE27" s="31">
        <v>0.95353159851301117</v>
      </c>
      <c r="EF27" s="31">
        <v>0.94727272727272727</v>
      </c>
      <c r="EG27" s="31">
        <v>0.93866171003717469</v>
      </c>
      <c r="EH27" s="31">
        <v>0.9593345656192237</v>
      </c>
      <c r="EI27" s="31">
        <v>0.95514018691588787</v>
      </c>
      <c r="EJ27" s="31">
        <v>0.94812164579606439</v>
      </c>
      <c r="EK27" s="31">
        <v>0.93482309124767227</v>
      </c>
      <c r="EL27" s="31">
        <v>0.94812650362882311</v>
      </c>
    </row>
    <row r="28" spans="2:142" x14ac:dyDescent="0.35">
      <c r="B28" s="20"/>
      <c r="C28" s="20"/>
      <c r="D28" s="20"/>
      <c r="E28" s="20"/>
      <c r="F28" s="20"/>
      <c r="G28" s="20"/>
      <c r="AL28" s="19" t="s">
        <v>82</v>
      </c>
      <c r="AM28" s="31">
        <v>0.97949526813880128</v>
      </c>
      <c r="AN28" s="31">
        <v>0.9542586750788643</v>
      </c>
      <c r="AO28" s="31">
        <v>0.97160883280757093</v>
      </c>
      <c r="AP28" s="31">
        <v>0.98738170347003151</v>
      </c>
      <c r="AQ28" s="31">
        <v>0.97949526813880128</v>
      </c>
      <c r="AR28" s="31">
        <v>0.96687697160883279</v>
      </c>
      <c r="AS28" s="31">
        <v>0.9637223974763407</v>
      </c>
      <c r="AT28" s="31">
        <v>0.97183415953132035</v>
      </c>
      <c r="AU28" s="31">
        <v>0.96687697160883279</v>
      </c>
      <c r="AV28" s="31">
        <v>0.94952681388012616</v>
      </c>
      <c r="AW28" s="31">
        <v>0.96214511041009465</v>
      </c>
      <c r="AX28" s="31">
        <v>0.98580441640378547</v>
      </c>
      <c r="AY28" s="31">
        <v>0.94321766561514198</v>
      </c>
      <c r="AZ28" s="31">
        <v>0.9637223974763407</v>
      </c>
      <c r="BA28" s="31">
        <v>0.97003154574132489</v>
      </c>
      <c r="BB28" s="31">
        <v>0.96304641730509233</v>
      </c>
      <c r="BC28" s="31">
        <v>0.96551724137931039</v>
      </c>
      <c r="BD28" s="31">
        <v>0.96214511041009465</v>
      </c>
      <c r="BE28" s="31">
        <v>0.93853073463268366</v>
      </c>
      <c r="BF28" s="31">
        <v>0.93853073463268366</v>
      </c>
      <c r="BG28" s="31">
        <v>0.93403298350824593</v>
      </c>
      <c r="BH28" s="31">
        <v>0.97001499250374812</v>
      </c>
      <c r="BI28" s="31">
        <v>0.94302848575712139</v>
      </c>
      <c r="BJ28" s="31">
        <v>0.95025718326055542</v>
      </c>
      <c r="BK28" s="31">
        <v>0.80509745127436283</v>
      </c>
      <c r="BL28" s="31">
        <v>0.95502248875562223</v>
      </c>
      <c r="BM28" s="31">
        <v>0.80509745127436283</v>
      </c>
      <c r="BN28" s="31">
        <v>0.80809595202398798</v>
      </c>
      <c r="BO28" s="31">
        <v>0.90404797601199405</v>
      </c>
      <c r="BP28" s="31">
        <v>0.94002998500749624</v>
      </c>
      <c r="BQ28" s="31">
        <v>0.8710644677661169</v>
      </c>
      <c r="BR28" s="31">
        <v>0.86977939601627752</v>
      </c>
      <c r="BS28" s="31">
        <v>0.94602698650674666</v>
      </c>
      <c r="BT28" s="31">
        <v>0.80809595202398798</v>
      </c>
      <c r="BU28" s="31">
        <v>0.97751124437781112</v>
      </c>
      <c r="BV28" s="31">
        <v>0.96101949025487254</v>
      </c>
      <c r="BW28" s="31">
        <v>0.96701649175412296</v>
      </c>
      <c r="BX28" s="31">
        <v>0.8935532233883059</v>
      </c>
      <c r="BY28" s="31">
        <v>0.93853073463268366</v>
      </c>
      <c r="BZ28" s="31">
        <v>0.92739344613407593</v>
      </c>
      <c r="CA28" s="31">
        <v>0.95802098950524739</v>
      </c>
      <c r="CB28" s="31">
        <v>0.97901049475262369</v>
      </c>
      <c r="CC28" s="31">
        <v>0.95864106351550959</v>
      </c>
      <c r="CD28" s="31">
        <v>0.96159527326440175</v>
      </c>
      <c r="CE28" s="31">
        <v>0.96251874062968512</v>
      </c>
      <c r="CF28" s="31">
        <v>0.98200899550224885</v>
      </c>
      <c r="CG28" s="31">
        <v>0.97301349325337327</v>
      </c>
      <c r="CH28" s="31">
        <v>0.96782986434615559</v>
      </c>
      <c r="CI28" s="31">
        <v>0.97636632200886264</v>
      </c>
      <c r="CJ28" s="31">
        <v>0.97488921713441656</v>
      </c>
      <c r="CK28" s="31">
        <v>0.95716395864106352</v>
      </c>
      <c r="CL28" s="31">
        <v>0.95716395864106352</v>
      </c>
      <c r="CM28" s="31">
        <v>0.97636632200886264</v>
      </c>
      <c r="CN28" s="31">
        <v>0.97193500738552441</v>
      </c>
      <c r="CO28" s="31">
        <v>0.96454948301329391</v>
      </c>
      <c r="CP28" s="31">
        <v>0.96834775269044104</v>
      </c>
      <c r="CQ28" s="31">
        <v>0.9438700147710487</v>
      </c>
      <c r="CR28" s="31">
        <v>0.97193500738552441</v>
      </c>
      <c r="CS28" s="31">
        <v>0.95716395864106352</v>
      </c>
      <c r="CT28" s="31">
        <v>0.93500738552437224</v>
      </c>
      <c r="CU28" s="31">
        <v>0.92909896602658792</v>
      </c>
      <c r="CV28" s="31">
        <v>0.96159527326440175</v>
      </c>
      <c r="CW28" s="31">
        <v>0.96159527326440175</v>
      </c>
      <c r="CX28" s="31">
        <v>0.95146655412534287</v>
      </c>
      <c r="CY28" s="31">
        <v>0.96454948301329391</v>
      </c>
      <c r="CZ28" s="31">
        <v>0.91285081240768096</v>
      </c>
      <c r="DA28" s="31">
        <v>0.92614475627769577</v>
      </c>
      <c r="DB28" s="31">
        <v>0.95716395864106352</v>
      </c>
      <c r="DC28" s="31">
        <v>0.93205317577548008</v>
      </c>
      <c r="DD28" s="31">
        <v>0.96011816838995567</v>
      </c>
      <c r="DE28" s="31">
        <v>0.95420974889217136</v>
      </c>
      <c r="DF28" s="31">
        <v>0.94387001477104882</v>
      </c>
      <c r="DG28" s="31">
        <v>0.99113737075332353</v>
      </c>
      <c r="DH28" s="31">
        <v>0.93943870014771047</v>
      </c>
      <c r="DI28" s="31">
        <v>0.96602658788773998</v>
      </c>
      <c r="DJ28" s="31">
        <v>0.96602658788773998</v>
      </c>
      <c r="DK28" s="31">
        <v>0.97488921713441656</v>
      </c>
      <c r="DL28" s="31">
        <v>0.96159527326440175</v>
      </c>
      <c r="DM28" s="31">
        <v>0.96602658788773998</v>
      </c>
      <c r="DN28" s="31">
        <v>0.96644861785186742</v>
      </c>
      <c r="DO28" s="31">
        <v>0.91875923190546527</v>
      </c>
      <c r="DP28" s="31">
        <v>0.96750369276218606</v>
      </c>
      <c r="DQ28" s="31">
        <v>0.9438700147710487</v>
      </c>
      <c r="DR28" s="31">
        <v>0.95864106351550959</v>
      </c>
      <c r="DS28" s="31">
        <v>0.94977843426883313</v>
      </c>
      <c r="DT28" s="31">
        <v>0.97045790251107833</v>
      </c>
      <c r="DU28" s="31">
        <v>0.95568685376661744</v>
      </c>
      <c r="DV28" s="31">
        <v>0.95209959907153408</v>
      </c>
      <c r="DW28" s="31">
        <v>0.92909896602658792</v>
      </c>
      <c r="DX28" s="31">
        <v>0.97488921713441656</v>
      </c>
      <c r="DY28" s="31">
        <v>0.91432791728212703</v>
      </c>
      <c r="DZ28" s="31">
        <v>0.93500738552437224</v>
      </c>
      <c r="EA28" s="31">
        <v>0.93796159527326439</v>
      </c>
      <c r="EB28" s="31">
        <v>0.97784342688330872</v>
      </c>
      <c r="EC28" s="31">
        <v>0.96750369276218606</v>
      </c>
      <c r="ED28" s="31">
        <v>0.94809031441232317</v>
      </c>
      <c r="EE28" s="31">
        <v>0.94239290989660263</v>
      </c>
      <c r="EF28" s="31">
        <v>0.95568685376661744</v>
      </c>
      <c r="EG28" s="31">
        <v>0.96750369276218606</v>
      </c>
      <c r="EH28" s="31">
        <v>0.98079763663220088</v>
      </c>
      <c r="EI28" s="31">
        <v>0.9438700147710487</v>
      </c>
      <c r="EJ28" s="31">
        <v>0.96307237813884783</v>
      </c>
      <c r="EK28" s="31">
        <v>0.95716395864106352</v>
      </c>
      <c r="EL28" s="31">
        <v>0.95864106351550959</v>
      </c>
    </row>
    <row r="29" spans="2:142" x14ac:dyDescent="0.35">
      <c r="B29" s="20"/>
      <c r="C29" s="20"/>
      <c r="D29" s="20"/>
      <c r="E29" s="20"/>
      <c r="F29" s="20"/>
      <c r="G29" s="20"/>
      <c r="AL29" s="19" t="s">
        <v>83</v>
      </c>
      <c r="AM29" s="31">
        <v>0.94528875379939215</v>
      </c>
      <c r="AN29" s="31">
        <v>0.97832817337461297</v>
      </c>
      <c r="AO29" s="31">
        <v>0.95440729483282671</v>
      </c>
      <c r="AP29" s="31">
        <v>0.93920972644376899</v>
      </c>
      <c r="AQ29" s="31">
        <v>0.95121951219512191</v>
      </c>
      <c r="AR29" s="31">
        <v>0.9719626168224299</v>
      </c>
      <c r="AS29" s="31">
        <v>0.92523364485981308</v>
      </c>
      <c r="AT29" s="31">
        <v>0.95223567461828085</v>
      </c>
      <c r="AU29" s="31">
        <v>0.96250000000000002</v>
      </c>
      <c r="AV29" s="31">
        <v>0.96352583586626139</v>
      </c>
      <c r="AW29" s="31">
        <v>0.95</v>
      </c>
      <c r="AX29" s="31">
        <v>0.93188854489164086</v>
      </c>
      <c r="AY29" s="31">
        <v>0.95061728395061729</v>
      </c>
      <c r="AZ29" s="31">
        <v>0.93518518518518523</v>
      </c>
      <c r="BA29" s="31">
        <v>0.93827160493827155</v>
      </c>
      <c r="BB29" s="31">
        <v>0.94742692211885371</v>
      </c>
      <c r="BC29" s="31">
        <v>0.94785276073619629</v>
      </c>
      <c r="BD29" s="31">
        <v>0.94117647058823528</v>
      </c>
      <c r="BE29" s="31">
        <v>0.93558282208588961</v>
      </c>
      <c r="BF29" s="31">
        <v>0.95705521472392641</v>
      </c>
      <c r="BG29" s="31">
        <v>0.92331288343558282</v>
      </c>
      <c r="BH29" s="31">
        <v>0.92331288343558282</v>
      </c>
      <c r="BI29" s="31">
        <v>0.92944785276073616</v>
      </c>
      <c r="BJ29" s="31">
        <v>0.93682012682373561</v>
      </c>
      <c r="BK29" s="31">
        <v>0.86111111111111116</v>
      </c>
      <c r="BL29" s="31">
        <v>0.95092024539877296</v>
      </c>
      <c r="BM29" s="31">
        <v>0.82098765432098764</v>
      </c>
      <c r="BN29" s="31">
        <v>0.82424242424242422</v>
      </c>
      <c r="BO29" s="31">
        <v>0.88650306748466257</v>
      </c>
      <c r="BP29" s="31">
        <v>0.95092024539877296</v>
      </c>
      <c r="BQ29" s="31">
        <v>0.94785276073619629</v>
      </c>
      <c r="BR29" s="31">
        <v>0.89179107267041835</v>
      </c>
      <c r="BS29" s="31">
        <v>0.93518518518518523</v>
      </c>
      <c r="BT29" s="31">
        <v>0.89440993788819878</v>
      </c>
      <c r="BU29" s="31">
        <v>0.88749999999999996</v>
      </c>
      <c r="BV29" s="31">
        <v>0.93769470404984423</v>
      </c>
      <c r="BW29" s="31">
        <v>0.96932515337423308</v>
      </c>
      <c r="BX29" s="31">
        <v>0.91049382716049387</v>
      </c>
      <c r="BY29" s="31">
        <v>0.96666666666666667</v>
      </c>
      <c r="BZ29" s="31">
        <v>0.92875363918923171</v>
      </c>
      <c r="CA29" s="31">
        <v>0.95107033639143734</v>
      </c>
      <c r="CB29" s="31">
        <v>0.95638629283489096</v>
      </c>
      <c r="CC29" s="31">
        <v>0.95705521472392641</v>
      </c>
      <c r="CD29" s="31">
        <v>0.97213622291021673</v>
      </c>
      <c r="CE29" s="31">
        <v>0.97832817337461297</v>
      </c>
      <c r="CF29" s="31">
        <v>0.98165137614678899</v>
      </c>
      <c r="CG29" s="31">
        <v>0.96296296296296291</v>
      </c>
      <c r="CH29" s="31">
        <v>0.96565579704926219</v>
      </c>
      <c r="CI29" s="31">
        <v>0.97819314641744548</v>
      </c>
      <c r="CJ29" s="31">
        <v>0.97839506172839508</v>
      </c>
      <c r="CK29" s="31">
        <v>0.9719626168224299</v>
      </c>
      <c r="CL29" s="31">
        <v>0.98130841121495327</v>
      </c>
      <c r="CM29" s="31">
        <v>0.98466257668711654</v>
      </c>
      <c r="CN29" s="31">
        <v>0.98452012383900933</v>
      </c>
      <c r="CO29" s="31">
        <v>0.98181818181818181</v>
      </c>
      <c r="CP29" s="31">
        <v>0.98012287407536169</v>
      </c>
      <c r="CQ29" s="31">
        <v>0.98780487804878048</v>
      </c>
      <c r="CR29" s="31">
        <v>0.98470948012232418</v>
      </c>
      <c r="CS29" s="31">
        <v>0.94528875379939215</v>
      </c>
      <c r="CT29" s="31">
        <v>0.96036585365853655</v>
      </c>
      <c r="CU29" s="31">
        <v>0.95718654434250761</v>
      </c>
      <c r="CV29" s="31">
        <v>0.97553516819571862</v>
      </c>
      <c r="CW29" s="31">
        <v>0.95412844036697253</v>
      </c>
      <c r="CX29" s="31">
        <v>0.96643130264774746</v>
      </c>
      <c r="CY29" s="31">
        <v>0.96330275229357798</v>
      </c>
      <c r="CZ29" s="31">
        <v>0.95121951219512191</v>
      </c>
      <c r="DA29" s="31">
        <v>0.95987654320987659</v>
      </c>
      <c r="DB29" s="31">
        <v>0.9756838905775076</v>
      </c>
      <c r="DC29" s="31">
        <v>0.94512195121951215</v>
      </c>
      <c r="DD29" s="31">
        <v>0.95744680851063835</v>
      </c>
      <c r="DE29" s="31">
        <v>0.96024464831804279</v>
      </c>
      <c r="DF29" s="31">
        <v>0.95898515804632534</v>
      </c>
      <c r="DG29" s="31">
        <v>0.9640718562874252</v>
      </c>
      <c r="DH29" s="31">
        <v>0.96107784431137722</v>
      </c>
      <c r="DI29" s="31">
        <v>0.96374622356495465</v>
      </c>
      <c r="DJ29" s="31">
        <v>0.94259818731117828</v>
      </c>
      <c r="DK29" s="31">
        <v>0.96960486322188455</v>
      </c>
      <c r="DL29" s="31">
        <v>0.98520710059171601</v>
      </c>
      <c r="DM29" s="31">
        <v>0.96439169139465875</v>
      </c>
      <c r="DN29" s="31">
        <v>0.96438539524045641</v>
      </c>
      <c r="DO29" s="31">
        <v>0.95412844036697253</v>
      </c>
      <c r="DP29" s="31">
        <v>0.98219584569732943</v>
      </c>
      <c r="DQ29" s="31">
        <v>0.96341463414634143</v>
      </c>
      <c r="DR29" s="31">
        <v>0.96319018404907975</v>
      </c>
      <c r="DS29" s="31">
        <v>0.97247706422018354</v>
      </c>
      <c r="DT29" s="31">
        <v>0.97891566265060237</v>
      </c>
      <c r="DU29" s="31">
        <v>0.98176291793313075</v>
      </c>
      <c r="DV29" s="31">
        <v>0.97086924986623413</v>
      </c>
      <c r="DW29" s="31">
        <v>0.96960486322188455</v>
      </c>
      <c r="DX29" s="31">
        <v>0.9607250755287009</v>
      </c>
      <c r="DY29" s="31">
        <v>0.96330275229357798</v>
      </c>
      <c r="DZ29" s="31">
        <v>0.963963963963964</v>
      </c>
      <c r="EA29" s="31">
        <v>0.96987951807228912</v>
      </c>
      <c r="EB29" s="31">
        <v>0.96439169139465875</v>
      </c>
      <c r="EC29" s="31">
        <v>0.97640117994100295</v>
      </c>
      <c r="ED29" s="31">
        <v>0.96689557777372526</v>
      </c>
      <c r="EE29" s="31">
        <v>0.91793313069908811</v>
      </c>
      <c r="EF29" s="31">
        <v>0.97590361445783136</v>
      </c>
      <c r="EG29" s="31">
        <v>0.9363636363636364</v>
      </c>
      <c r="EH29" s="31">
        <v>0.9546827794561934</v>
      </c>
      <c r="EI29" s="31">
        <v>0.9546827794561934</v>
      </c>
      <c r="EJ29" s="31">
        <v>0.9910714285714286</v>
      </c>
      <c r="EK29" s="31">
        <v>0.96987951807228912</v>
      </c>
      <c r="EL29" s="31">
        <v>0.9572166981538085</v>
      </c>
    </row>
    <row r="30" spans="2:142" x14ac:dyDescent="0.35">
      <c r="B30" s="20"/>
      <c r="C30" s="20"/>
      <c r="D30" s="20"/>
      <c r="E30" s="20"/>
      <c r="F30" s="20"/>
      <c r="G30" s="20"/>
      <c r="AL30" s="19" t="s">
        <v>84</v>
      </c>
      <c r="AM30" s="31">
        <v>0.95864661654135341</v>
      </c>
      <c r="AN30" s="31">
        <v>0.95300751879699253</v>
      </c>
      <c r="AO30" s="31">
        <v>0.91729323308270672</v>
      </c>
      <c r="AP30" s="31">
        <v>0.95300751879699253</v>
      </c>
      <c r="AQ30" s="31">
        <v>0.97180451127819545</v>
      </c>
      <c r="AR30" s="31">
        <v>0.95300751879699253</v>
      </c>
      <c r="AS30" s="31">
        <v>0.97932330827067671</v>
      </c>
      <c r="AT30" s="31">
        <v>0.95515574650912993</v>
      </c>
      <c r="AU30" s="31">
        <v>0.96096654275092941</v>
      </c>
      <c r="AV30" s="31">
        <v>0.97932330827067671</v>
      </c>
      <c r="AW30" s="31">
        <v>0.94052044609665431</v>
      </c>
      <c r="AX30" s="31">
        <v>0.97397769516728627</v>
      </c>
      <c r="AY30" s="31">
        <v>0.97397769516728627</v>
      </c>
      <c r="AZ30" s="31">
        <v>0.98872180451127822</v>
      </c>
      <c r="BA30" s="31">
        <v>0.97744360902255634</v>
      </c>
      <c r="BB30" s="31">
        <v>0.97070444299809533</v>
      </c>
      <c r="BC30" s="31">
        <v>0.96526508226691043</v>
      </c>
      <c r="BD30" s="31">
        <v>0.98537477148080443</v>
      </c>
      <c r="BE30" s="31">
        <v>0.9378427787934186</v>
      </c>
      <c r="BF30" s="31">
        <v>0.95612431444241319</v>
      </c>
      <c r="BG30" s="31">
        <v>0.95246800731261427</v>
      </c>
      <c r="BH30" s="31">
        <v>0.97619047619047616</v>
      </c>
      <c r="BI30" s="31">
        <v>0.97440585009140768</v>
      </c>
      <c r="BJ30" s="31">
        <v>0.96395304008257787</v>
      </c>
      <c r="BK30" s="31">
        <v>0.85923217550274222</v>
      </c>
      <c r="BL30" s="31">
        <v>0.9579524680073126</v>
      </c>
      <c r="BM30" s="31">
        <v>0.74954296160877509</v>
      </c>
      <c r="BN30" s="31">
        <v>0.77879341864716634</v>
      </c>
      <c r="BO30" s="31">
        <v>0.86106032906764163</v>
      </c>
      <c r="BP30" s="31">
        <v>0.94698354661791595</v>
      </c>
      <c r="BQ30" s="31">
        <v>0.90859232175502747</v>
      </c>
      <c r="BR30" s="31">
        <v>0.86602246017236884</v>
      </c>
      <c r="BS30" s="31">
        <v>0.90859232175502747</v>
      </c>
      <c r="BT30" s="31">
        <v>0.78244972577696525</v>
      </c>
      <c r="BU30" s="31">
        <v>0.85923217550274222</v>
      </c>
      <c r="BV30" s="31">
        <v>0.89945155393053011</v>
      </c>
      <c r="BW30" s="31">
        <v>0.90310786106032903</v>
      </c>
      <c r="BX30" s="31">
        <v>0.8336380255941499</v>
      </c>
      <c r="BY30" s="31">
        <v>0.86106032906764163</v>
      </c>
      <c r="BZ30" s="31">
        <v>0.86393314181248371</v>
      </c>
      <c r="CA30" s="31">
        <v>0.94149908592321752</v>
      </c>
      <c r="CB30" s="31">
        <v>0.92138939670932363</v>
      </c>
      <c r="CC30" s="31">
        <v>0.979890310786106</v>
      </c>
      <c r="CD30" s="31">
        <v>0.89945155393053011</v>
      </c>
      <c r="CE30" s="31">
        <v>0.979890310786106</v>
      </c>
      <c r="CF30" s="31">
        <v>0.91042047531992687</v>
      </c>
      <c r="CG30" s="31">
        <v>0.91042047531992687</v>
      </c>
      <c r="CH30" s="31">
        <v>0.93470880125359102</v>
      </c>
      <c r="CI30" s="31">
        <v>0.93967093235831811</v>
      </c>
      <c r="CJ30" s="31">
        <v>0.91590493601462519</v>
      </c>
      <c r="CK30" s="31">
        <v>0.90310786106032903</v>
      </c>
      <c r="CL30" s="31">
        <v>0.89213893967093238</v>
      </c>
      <c r="CM30" s="31">
        <v>0.94332723948811703</v>
      </c>
      <c r="CN30" s="31">
        <v>0.93418647166361979</v>
      </c>
      <c r="CO30" s="31">
        <v>0.95246800731261427</v>
      </c>
      <c r="CP30" s="31">
        <v>0.92582919822407939</v>
      </c>
      <c r="CQ30" s="31">
        <v>0.92138939670932363</v>
      </c>
      <c r="CR30" s="31">
        <v>0.91407678244972579</v>
      </c>
      <c r="CS30" s="31">
        <v>0.91407678244972579</v>
      </c>
      <c r="CT30" s="31">
        <v>0.95063985374771476</v>
      </c>
      <c r="CU30" s="31">
        <v>0.92138939670932363</v>
      </c>
      <c r="CV30" s="31">
        <v>0.88665447897623395</v>
      </c>
      <c r="CW30" s="31">
        <v>0.92138939670932363</v>
      </c>
      <c r="CX30" s="31">
        <v>0.91851658396448166</v>
      </c>
      <c r="CY30" s="31">
        <v>0.94881170018281535</v>
      </c>
      <c r="CZ30" s="31">
        <v>0.95246800731261427</v>
      </c>
      <c r="DA30" s="31">
        <v>0.92138939670932363</v>
      </c>
      <c r="DB30" s="31">
        <v>0.93601462522851919</v>
      </c>
      <c r="DC30" s="31">
        <v>0.93418647166361979</v>
      </c>
      <c r="DD30" s="31">
        <v>0.95429616087751368</v>
      </c>
      <c r="DE30" s="31">
        <v>0.92870201096892135</v>
      </c>
      <c r="DF30" s="31">
        <v>0.93940976756333239</v>
      </c>
      <c r="DG30" s="31">
        <v>0.90676416819012795</v>
      </c>
      <c r="DH30" s="31">
        <v>0.95612431444241319</v>
      </c>
      <c r="DI30" s="31">
        <v>0.8957952468007313</v>
      </c>
      <c r="DJ30" s="31">
        <v>0.90859232175502747</v>
      </c>
      <c r="DK30" s="31">
        <v>0.91590493601462519</v>
      </c>
      <c r="DL30" s="31">
        <v>0.93418647166361979</v>
      </c>
      <c r="DM30" s="31">
        <v>0.89396709323583179</v>
      </c>
      <c r="DN30" s="31">
        <v>0.9159049360146253</v>
      </c>
      <c r="DO30" s="31">
        <v>0.95063985374771476</v>
      </c>
      <c r="DP30" s="31">
        <v>0.93967093235831811</v>
      </c>
      <c r="DQ30" s="31">
        <v>0.89031078610603287</v>
      </c>
      <c r="DR30" s="31">
        <v>0.94698354661791595</v>
      </c>
      <c r="DS30" s="31">
        <v>0.9378427787934186</v>
      </c>
      <c r="DT30" s="31">
        <v>0.95978062157221211</v>
      </c>
      <c r="DU30" s="31">
        <v>0.95246800731261427</v>
      </c>
      <c r="DV30" s="31">
        <v>0.93967093235831811</v>
      </c>
      <c r="DW30" s="31">
        <v>0.91956124314442411</v>
      </c>
      <c r="DX30" s="31">
        <v>0.96526508226691043</v>
      </c>
      <c r="DY30" s="31">
        <v>0.90676416819012795</v>
      </c>
      <c r="DZ30" s="31">
        <v>0.94698354661791595</v>
      </c>
      <c r="EA30" s="31">
        <v>0.92504570383912244</v>
      </c>
      <c r="EB30" s="31">
        <v>0.93967093235831811</v>
      </c>
      <c r="EC30" s="31">
        <v>0.93601462522851919</v>
      </c>
      <c r="ED30" s="31">
        <v>0.93418647166361968</v>
      </c>
      <c r="EE30" s="31">
        <v>0.96343692870201092</v>
      </c>
      <c r="EF30" s="31">
        <v>0.95246800731261427</v>
      </c>
      <c r="EG30" s="31">
        <v>0.94332723948811703</v>
      </c>
      <c r="EH30" s="31">
        <v>0.96892138939670935</v>
      </c>
      <c r="EI30" s="31">
        <v>0.96892138939670935</v>
      </c>
      <c r="EJ30" s="31">
        <v>0.94515539305301643</v>
      </c>
      <c r="EK30" s="31">
        <v>0.97074954296160876</v>
      </c>
      <c r="EL30" s="31">
        <v>0.95899712718725527</v>
      </c>
    </row>
    <row r="31" spans="2:142" x14ac:dyDescent="0.35">
      <c r="B31" s="20"/>
      <c r="C31" s="20"/>
      <c r="D31" s="20"/>
      <c r="E31" s="20"/>
      <c r="F31" s="20"/>
      <c r="G31" s="20"/>
      <c r="AL31" s="19" t="s">
        <v>85</v>
      </c>
      <c r="AM31" s="31">
        <v>0.91641791044776122</v>
      </c>
      <c r="AN31" s="31">
        <v>0.90615835777126097</v>
      </c>
      <c r="AO31" s="31">
        <v>0.92603550295857984</v>
      </c>
      <c r="AP31" s="31">
        <v>0.88184438040345825</v>
      </c>
      <c r="AQ31" s="31">
        <v>0.89020771513353114</v>
      </c>
      <c r="AR31" s="31">
        <v>0.89221556886227549</v>
      </c>
      <c r="AS31" s="31">
        <v>0.8892215568862275</v>
      </c>
      <c r="AT31" s="31">
        <v>0.90030014178044204</v>
      </c>
      <c r="AU31" s="31">
        <v>0.90116279069767447</v>
      </c>
      <c r="AV31" s="31">
        <v>0.90697674418604646</v>
      </c>
      <c r="AW31" s="31">
        <v>0.8443804034582133</v>
      </c>
      <c r="AX31" s="31">
        <v>0.82386363636363635</v>
      </c>
      <c r="AY31" s="31">
        <v>0.89625360230547546</v>
      </c>
      <c r="AZ31" s="31">
        <v>0.88338192419825068</v>
      </c>
      <c r="BA31" s="31">
        <v>0.87572254335260113</v>
      </c>
      <c r="BB31" s="31">
        <v>0.87596309208027112</v>
      </c>
      <c r="BC31" s="31">
        <v>0.8717201166180758</v>
      </c>
      <c r="BD31" s="31">
        <v>0.92485549132947975</v>
      </c>
      <c r="BE31" s="31">
        <v>0.88825214899713467</v>
      </c>
      <c r="BF31" s="31">
        <v>0.9484240687679083</v>
      </c>
      <c r="BG31" s="31">
        <v>0.89048991354466855</v>
      </c>
      <c r="BH31" s="31">
        <v>0.89595375722543358</v>
      </c>
      <c r="BI31" s="31">
        <v>0.89913544668587897</v>
      </c>
      <c r="BJ31" s="31">
        <v>0.90269013473836834</v>
      </c>
      <c r="BK31" s="31">
        <v>0.91489361702127658</v>
      </c>
      <c r="BL31" s="31">
        <v>0.97109826589595372</v>
      </c>
      <c r="BM31" s="31">
        <v>0.83180428134556572</v>
      </c>
      <c r="BN31" s="31">
        <v>0.81987577639751552</v>
      </c>
      <c r="BO31" s="31">
        <v>0.90090090090090091</v>
      </c>
      <c r="BP31" s="31">
        <v>0.95043731778425655</v>
      </c>
      <c r="BQ31" s="31">
        <v>0.91618497109826591</v>
      </c>
      <c r="BR31" s="31">
        <v>0.90074216149196207</v>
      </c>
      <c r="BS31" s="31">
        <v>0.92592592592592593</v>
      </c>
      <c r="BT31" s="31">
        <v>0.88198757763975155</v>
      </c>
      <c r="BU31" s="31">
        <v>0.75287356321839083</v>
      </c>
      <c r="BV31" s="31">
        <v>0.84795321637426901</v>
      </c>
      <c r="BW31" s="31">
        <v>0.93009118541033431</v>
      </c>
      <c r="BX31" s="31">
        <v>0.90303030303030307</v>
      </c>
      <c r="BY31" s="31">
        <v>0.93902439024390238</v>
      </c>
      <c r="BZ31" s="31">
        <v>0.88298373740612524</v>
      </c>
      <c r="CA31" s="31">
        <v>0.93521126760563378</v>
      </c>
      <c r="CB31" s="31">
        <v>0.89329268292682928</v>
      </c>
      <c r="CC31" s="31">
        <v>0.97175141242937857</v>
      </c>
      <c r="CD31" s="31">
        <v>0.8571428571428571</v>
      </c>
      <c r="CE31" s="31">
        <v>0.88888888888888884</v>
      </c>
      <c r="CF31" s="31">
        <v>0.98230088495575218</v>
      </c>
      <c r="CG31" s="31">
        <v>0.95726495726495731</v>
      </c>
      <c r="CH31" s="31">
        <v>0.92655042160204226</v>
      </c>
      <c r="CI31" s="31">
        <v>0.94855305466237938</v>
      </c>
      <c r="CJ31" s="31">
        <v>0.94827586206896552</v>
      </c>
      <c r="CK31" s="31">
        <v>0.9017857142857143</v>
      </c>
      <c r="CL31" s="31">
        <v>0.89164086687306499</v>
      </c>
      <c r="CM31" s="31">
        <v>0.93311036789297663</v>
      </c>
      <c r="CN31" s="31">
        <v>0.94134897360703818</v>
      </c>
      <c r="CO31" s="31">
        <v>0.96253602305475505</v>
      </c>
      <c r="CP31" s="31">
        <v>0.93246440892069915</v>
      </c>
      <c r="CQ31" s="31">
        <v>0.90830945558739251</v>
      </c>
      <c r="CR31" s="31">
        <v>0.93447293447293445</v>
      </c>
      <c r="CS31" s="31">
        <v>0.8486646884272997</v>
      </c>
      <c r="CT31" s="31">
        <v>0.92236024844720499</v>
      </c>
      <c r="CU31" s="31">
        <v>0.8968481375358166</v>
      </c>
      <c r="CV31" s="31">
        <v>0.95043731778425655</v>
      </c>
      <c r="CW31" s="31">
        <v>0.95294117647058818</v>
      </c>
      <c r="CX31" s="31">
        <v>0.91629056553221311</v>
      </c>
      <c r="CY31" s="31">
        <v>0.92668621700879761</v>
      </c>
      <c r="CZ31" s="31">
        <v>0.93895348837209303</v>
      </c>
      <c r="DA31" s="31">
        <v>0.92987804878048785</v>
      </c>
      <c r="DB31" s="31">
        <v>0.94817073170731703</v>
      </c>
      <c r="DC31" s="31">
        <v>0.95833333333333337</v>
      </c>
      <c r="DD31" s="31">
        <v>0.97239263803680986</v>
      </c>
      <c r="DE31" s="31">
        <v>0.95375722543352603</v>
      </c>
      <c r="DF31" s="31">
        <v>0.94688166895319503</v>
      </c>
      <c r="DG31" s="31">
        <v>0.92128279883381925</v>
      </c>
      <c r="DH31" s="31">
        <v>0.92676056338028168</v>
      </c>
      <c r="DI31" s="31">
        <v>0.89565217391304353</v>
      </c>
      <c r="DJ31" s="31">
        <v>0.94721407624633436</v>
      </c>
      <c r="DK31" s="31">
        <v>0.93768545994065278</v>
      </c>
      <c r="DL31" s="31">
        <v>0.96941896024464835</v>
      </c>
      <c r="DM31" s="31">
        <v>0.88291139240506333</v>
      </c>
      <c r="DN31" s="31">
        <v>0.92584648928054902</v>
      </c>
      <c r="DO31" s="31">
        <v>0.93274853801169588</v>
      </c>
      <c r="DP31" s="31">
        <v>0.92732558139534882</v>
      </c>
      <c r="DQ31" s="31">
        <v>0.90116279069767447</v>
      </c>
      <c r="DR31" s="31">
        <v>0.94186046511627908</v>
      </c>
      <c r="DS31" s="31">
        <v>0.92035398230088494</v>
      </c>
      <c r="DT31" s="31">
        <v>0.94100294985250732</v>
      </c>
      <c r="DU31" s="31">
        <v>0.92957746478873238</v>
      </c>
      <c r="DV31" s="31">
        <v>0.92771882459473165</v>
      </c>
      <c r="DW31" s="31">
        <v>0.97101449275362317</v>
      </c>
      <c r="DX31" s="31">
        <v>0.94186046511627908</v>
      </c>
      <c r="DY31" s="31">
        <v>0.97101449275362317</v>
      </c>
      <c r="DZ31" s="31">
        <v>0.94050991501416425</v>
      </c>
      <c r="EA31" s="31">
        <v>0.96033994334277617</v>
      </c>
      <c r="EB31" s="31">
        <v>0.95043731778425655</v>
      </c>
      <c r="EC31" s="31">
        <v>0.95930232558139539</v>
      </c>
      <c r="ED31" s="31">
        <v>0.95635413604944541</v>
      </c>
      <c r="EE31" s="31">
        <v>0.90123456790123457</v>
      </c>
      <c r="EF31" s="31">
        <v>0.98567335243553011</v>
      </c>
      <c r="EG31" s="31">
        <v>0.95294117647058818</v>
      </c>
      <c r="EH31" s="31">
        <v>0.91242937853107342</v>
      </c>
      <c r="EI31" s="31">
        <v>0.90361445783132532</v>
      </c>
      <c r="EJ31" s="31">
        <v>0.9274447949526814</v>
      </c>
      <c r="EK31" s="31">
        <v>0.95638629283489096</v>
      </c>
      <c r="EL31" s="31">
        <v>0.93424628870818904</v>
      </c>
    </row>
    <row r="32" spans="2:142" x14ac:dyDescent="0.35">
      <c r="B32" s="20"/>
      <c r="C32" s="20"/>
      <c r="D32" s="20"/>
      <c r="E32" s="20"/>
      <c r="F32" s="20"/>
      <c r="G32" s="20"/>
      <c r="AL32" s="19" t="s">
        <v>86</v>
      </c>
      <c r="AM32" s="31">
        <v>0.92135922330097086</v>
      </c>
      <c r="AN32" s="31">
        <v>0.89247311827956988</v>
      </c>
      <c r="AO32" s="31">
        <v>0.91796875</v>
      </c>
      <c r="AP32" s="31">
        <v>0.89261083743842362</v>
      </c>
      <c r="AQ32" s="31">
        <v>0.89921722113502933</v>
      </c>
      <c r="AR32" s="31">
        <v>0.90434782608695652</v>
      </c>
      <c r="AS32" s="31">
        <v>0.90926640926640923</v>
      </c>
      <c r="AT32" s="31">
        <v>0.9053204836439086</v>
      </c>
      <c r="AU32" s="31">
        <v>0.92912621359223302</v>
      </c>
      <c r="AV32" s="31">
        <v>0.89685658153241654</v>
      </c>
      <c r="AW32" s="31">
        <v>0.92233009708737868</v>
      </c>
      <c r="AX32" s="31">
        <v>0.90794573643410847</v>
      </c>
      <c r="AY32" s="31">
        <v>0.9326171875</v>
      </c>
      <c r="AZ32" s="31">
        <v>0.89668615984405453</v>
      </c>
      <c r="BA32" s="31">
        <v>0.9</v>
      </c>
      <c r="BB32" s="31">
        <v>0.91222313942717015</v>
      </c>
      <c r="BC32" s="31">
        <v>0.90360272638753647</v>
      </c>
      <c r="BD32" s="31">
        <v>0.87731256085686471</v>
      </c>
      <c r="BE32" s="31">
        <v>0.89601554907677361</v>
      </c>
      <c r="BF32" s="31">
        <v>0.86854917234664075</v>
      </c>
      <c r="BG32" s="31">
        <v>0.92092574734811961</v>
      </c>
      <c r="BH32" s="31">
        <v>0.87705711519845109</v>
      </c>
      <c r="BI32" s="31">
        <v>0.91023166023166024</v>
      </c>
      <c r="BJ32" s="31">
        <v>0.8933849330637208</v>
      </c>
      <c r="BK32" s="31">
        <v>0.82748538011695905</v>
      </c>
      <c r="BL32" s="31">
        <v>0.88582677165354329</v>
      </c>
      <c r="BM32" s="31">
        <v>0.81809338521400776</v>
      </c>
      <c r="BN32" s="31">
        <v>0.7504950495049505</v>
      </c>
      <c r="BO32" s="31">
        <v>0.85185185185185186</v>
      </c>
      <c r="BP32" s="31">
        <v>0.88258317025440314</v>
      </c>
      <c r="BQ32" s="31">
        <v>0.87450980392156863</v>
      </c>
      <c r="BR32" s="31">
        <v>0.84154934464532627</v>
      </c>
      <c r="BS32" s="31">
        <v>0.86627335299901675</v>
      </c>
      <c r="BT32" s="31">
        <v>0.75793650793650791</v>
      </c>
      <c r="BU32" s="31">
        <v>0.86896551724137927</v>
      </c>
      <c r="BV32" s="31">
        <v>0.84638255698711595</v>
      </c>
      <c r="BW32" s="31">
        <v>0.84007897334649551</v>
      </c>
      <c r="BX32" s="31">
        <v>0.81773399014778325</v>
      </c>
      <c r="BY32" s="31">
        <v>0.83416583416583412</v>
      </c>
      <c r="BZ32" s="31">
        <v>0.83307667611773328</v>
      </c>
      <c r="CA32" s="31">
        <v>0.91343283582089552</v>
      </c>
      <c r="CB32" s="31">
        <v>0.85014985014985012</v>
      </c>
      <c r="CC32" s="31">
        <v>0.92246520874751492</v>
      </c>
      <c r="CD32" s="31">
        <v>0.90438247011952189</v>
      </c>
      <c r="CE32" s="31">
        <v>0.88374384236453207</v>
      </c>
      <c r="CF32" s="31">
        <v>0.85812807881773401</v>
      </c>
      <c r="CG32" s="31">
        <v>0.87573385518590996</v>
      </c>
      <c r="CH32" s="31">
        <v>0.88686230588656556</v>
      </c>
      <c r="CI32" s="31">
        <v>0.86633165829145731</v>
      </c>
      <c r="CJ32" s="31">
        <v>0.86600985221674875</v>
      </c>
      <c r="CK32" s="31">
        <v>0.87336683417085426</v>
      </c>
      <c r="CL32" s="31">
        <v>0.86986301369863017</v>
      </c>
      <c r="CM32" s="31">
        <v>0.89068825910931171</v>
      </c>
      <c r="CN32" s="31">
        <v>0.88461538461538458</v>
      </c>
      <c r="CO32" s="31">
        <v>0.86124401913875603</v>
      </c>
      <c r="CP32" s="31">
        <v>0.87315986017730596</v>
      </c>
      <c r="CQ32" s="31">
        <v>0.86081982840800764</v>
      </c>
      <c r="CR32" s="31">
        <v>0.89349112426035504</v>
      </c>
      <c r="CS32" s="31">
        <v>0.88791423001949321</v>
      </c>
      <c r="CT32" s="31">
        <v>0.86048780487804877</v>
      </c>
      <c r="CU32" s="31">
        <v>0.90105667627281461</v>
      </c>
      <c r="CV32" s="31">
        <v>0.89453125</v>
      </c>
      <c r="CW32" s="31">
        <v>0.90720631786771966</v>
      </c>
      <c r="CX32" s="31">
        <v>0.88650103310091988</v>
      </c>
      <c r="CY32" s="31">
        <v>0.89555125725338491</v>
      </c>
      <c r="CZ32" s="31">
        <v>0.87762906309751432</v>
      </c>
      <c r="DA32" s="31">
        <v>0.90864917395529643</v>
      </c>
      <c r="DB32" s="31">
        <v>0.89509803921568631</v>
      </c>
      <c r="DC32" s="31">
        <v>0.89126213592233006</v>
      </c>
      <c r="DD32" s="31">
        <v>0.86455331412103742</v>
      </c>
      <c r="DE32" s="31">
        <v>0.86826923076923079</v>
      </c>
      <c r="DF32" s="31">
        <v>0.88585888776206867</v>
      </c>
      <c r="DG32" s="31">
        <v>0.8893166506256015</v>
      </c>
      <c r="DH32" s="31">
        <v>0.9205882352941176</v>
      </c>
      <c r="DI32" s="31">
        <v>0.89408396946564883</v>
      </c>
      <c r="DJ32" s="31">
        <v>0.85231660231660233</v>
      </c>
      <c r="DK32" s="31">
        <v>0.90038314176245215</v>
      </c>
      <c r="DL32" s="31">
        <v>0.92397660818713445</v>
      </c>
      <c r="DM32" s="31">
        <v>0.91050583657587547</v>
      </c>
      <c r="DN32" s="31">
        <v>0.89873872060391891</v>
      </c>
      <c r="DO32" s="31">
        <v>0.88315481986368061</v>
      </c>
      <c r="DP32" s="31">
        <v>0.82950191570881227</v>
      </c>
      <c r="DQ32" s="31">
        <v>0.88943248532289632</v>
      </c>
      <c r="DR32" s="31">
        <v>0.88921282798833823</v>
      </c>
      <c r="DS32" s="31">
        <v>0.8680688336520076</v>
      </c>
      <c r="DT32" s="31">
        <v>0.86220095693779908</v>
      </c>
      <c r="DU32" s="31">
        <v>0.88111217641418982</v>
      </c>
      <c r="DV32" s="31">
        <v>0.8718120022696747</v>
      </c>
      <c r="DW32" s="31">
        <v>0.87704130643611911</v>
      </c>
      <c r="DX32" s="31">
        <v>0.87899322362052279</v>
      </c>
      <c r="DY32" s="31">
        <v>0.87403846153846154</v>
      </c>
      <c r="DZ32" s="31">
        <v>0.87512007684918347</v>
      </c>
      <c r="EA32" s="31">
        <v>0.89776046738072057</v>
      </c>
      <c r="EB32" s="31">
        <v>0.88521400778210113</v>
      </c>
      <c r="EC32" s="31">
        <v>0.88856589147286824</v>
      </c>
      <c r="ED32" s="31">
        <v>0.88239049072571107</v>
      </c>
      <c r="EE32" s="31">
        <v>0.89681774349083898</v>
      </c>
      <c r="EF32" s="31">
        <v>0.87969201154956689</v>
      </c>
      <c r="EG32" s="31">
        <v>0.89884393063583812</v>
      </c>
      <c r="EH32" s="31">
        <v>0.88111217641418982</v>
      </c>
      <c r="EI32" s="31">
        <v>0.91682600382409174</v>
      </c>
      <c r="EJ32" s="31">
        <v>0.88749999999999996</v>
      </c>
      <c r="EK32" s="31">
        <v>0.88655862726406098</v>
      </c>
      <c r="EL32" s="31">
        <v>0.89247864188265513</v>
      </c>
    </row>
    <row r="33" spans="2:142" x14ac:dyDescent="0.35">
      <c r="B33" s="20"/>
      <c r="C33" s="20"/>
      <c r="D33" s="20"/>
      <c r="E33" s="20"/>
      <c r="F33" s="20"/>
      <c r="G33" s="20"/>
      <c r="AL33" s="19" t="s">
        <v>87</v>
      </c>
      <c r="AM33" s="31">
        <v>0.90136986301369859</v>
      </c>
      <c r="AN33" s="31">
        <v>0.89697802197802201</v>
      </c>
      <c r="AO33" s="31">
        <v>0.87242798353909468</v>
      </c>
      <c r="AP33" s="31">
        <v>0.88904109589041092</v>
      </c>
      <c r="AQ33" s="31">
        <v>0.85931034482758617</v>
      </c>
      <c r="AR33" s="31">
        <v>0.90429958391123444</v>
      </c>
      <c r="AS33" s="31">
        <v>0.9049586776859504</v>
      </c>
      <c r="AT33" s="31">
        <v>0.88976936726371392</v>
      </c>
      <c r="AU33" s="31">
        <v>0.91884456671251724</v>
      </c>
      <c r="AV33" s="31">
        <v>0.90946502057613166</v>
      </c>
      <c r="AW33" s="31">
        <v>0.92602739726027394</v>
      </c>
      <c r="AX33" s="31">
        <v>0.89315068493150684</v>
      </c>
      <c r="AY33" s="31">
        <v>0.92286501377410468</v>
      </c>
      <c r="AZ33" s="31">
        <v>0.92592592592592593</v>
      </c>
      <c r="BA33" s="31">
        <v>0.91208791208791207</v>
      </c>
      <c r="BB33" s="31">
        <v>0.91548093160976751</v>
      </c>
      <c r="BC33" s="31">
        <v>0.89726027397260277</v>
      </c>
      <c r="BD33" s="31">
        <v>0.89364640883977897</v>
      </c>
      <c r="BE33" s="31">
        <v>0.84794520547945207</v>
      </c>
      <c r="BF33" s="31">
        <v>0.852054794520548</v>
      </c>
      <c r="BG33" s="31">
        <v>0.90958904109589045</v>
      </c>
      <c r="BH33" s="31">
        <v>0.91346153846153844</v>
      </c>
      <c r="BI33" s="31">
        <v>0.9147180192572214</v>
      </c>
      <c r="BJ33" s="31">
        <v>0.88981075451814751</v>
      </c>
      <c r="BK33" s="31">
        <v>0.83011049723756902</v>
      </c>
      <c r="BL33" s="31">
        <v>0.88082191780821917</v>
      </c>
      <c r="BM33" s="31">
        <v>0.73103448275862071</v>
      </c>
      <c r="BN33" s="31">
        <v>0.75966850828729282</v>
      </c>
      <c r="BO33" s="31">
        <v>0.86301369863013699</v>
      </c>
      <c r="BP33" s="31">
        <v>0.8904109589041096</v>
      </c>
      <c r="BQ33" s="31">
        <v>0.86438356164383556</v>
      </c>
      <c r="BR33" s="31">
        <v>0.83134908932425478</v>
      </c>
      <c r="BS33" s="31">
        <v>0.89718309859154932</v>
      </c>
      <c r="BT33" s="31">
        <v>0.84794520547945207</v>
      </c>
      <c r="BU33" s="31">
        <v>0.8485273492286115</v>
      </c>
      <c r="BV33" s="31">
        <v>0.87394957983193278</v>
      </c>
      <c r="BW33" s="31">
        <v>0.8601398601398601</v>
      </c>
      <c r="BX33" s="31">
        <v>0.86629526462395545</v>
      </c>
      <c r="BY33" s="31">
        <v>0.83862068965517245</v>
      </c>
      <c r="BZ33" s="31">
        <v>0.86180872107864759</v>
      </c>
      <c r="CA33" s="31">
        <v>0.86762589928057554</v>
      </c>
      <c r="CB33" s="31">
        <v>0.89260808926080892</v>
      </c>
      <c r="CC33" s="31">
        <v>0.87391304347826082</v>
      </c>
      <c r="CD33" s="31">
        <v>0.88748241912798875</v>
      </c>
      <c r="CE33" s="31">
        <v>0.88668555240793201</v>
      </c>
      <c r="CF33" s="31">
        <v>0.89674681753889673</v>
      </c>
      <c r="CG33" s="31">
        <v>0.89533239038189538</v>
      </c>
      <c r="CH33" s="31">
        <v>0.88577060163947974</v>
      </c>
      <c r="CI33" s="31">
        <v>0.90336134453781514</v>
      </c>
      <c r="CJ33" s="31">
        <v>0.90097629009762903</v>
      </c>
      <c r="CK33" s="31">
        <v>0.86853146853146856</v>
      </c>
      <c r="CL33" s="31">
        <v>0.89170182841068912</v>
      </c>
      <c r="CM33" s="31">
        <v>0.90550070521861781</v>
      </c>
      <c r="CN33" s="31">
        <v>0.93846153846153846</v>
      </c>
      <c r="CO33" s="31">
        <v>0.91176470588235292</v>
      </c>
      <c r="CP33" s="31">
        <v>0.90289969730573028</v>
      </c>
      <c r="CQ33" s="31">
        <v>0.9044943820224719</v>
      </c>
      <c r="CR33" s="31">
        <v>0.90182328190743333</v>
      </c>
      <c r="CS33" s="31">
        <v>0.88795518207282909</v>
      </c>
      <c r="CT33" s="31">
        <v>0.87042253521126756</v>
      </c>
      <c r="CU33" s="31">
        <v>0.88671328671328675</v>
      </c>
      <c r="CV33" s="31">
        <v>0.91922005571030641</v>
      </c>
      <c r="CW33" s="31">
        <v>0.88022284122562677</v>
      </c>
      <c r="CX33" s="31">
        <v>0.89297879498046029</v>
      </c>
      <c r="CY33" s="31">
        <v>0.89503546099290776</v>
      </c>
      <c r="CZ33" s="31">
        <v>0.88017118402282457</v>
      </c>
      <c r="DA33" s="31">
        <v>0.87862068965517237</v>
      </c>
      <c r="DB33" s="31">
        <v>0.87724137931034485</v>
      </c>
      <c r="DC33" s="31">
        <v>0.90429958391123444</v>
      </c>
      <c r="DD33" s="31">
        <v>0.9185393258426966</v>
      </c>
      <c r="DE33" s="31">
        <v>0.89473684210526316</v>
      </c>
      <c r="DF33" s="31">
        <v>0.89266349512006349</v>
      </c>
      <c r="DG33" s="31">
        <v>0.88407821229050276</v>
      </c>
      <c r="DH33" s="31">
        <v>0.88796680497925307</v>
      </c>
      <c r="DI33" s="31">
        <v>0.87396121883656508</v>
      </c>
      <c r="DJ33" s="31">
        <v>0.88728323699421963</v>
      </c>
      <c r="DK33" s="31">
        <v>0.86998616874135548</v>
      </c>
      <c r="DL33" s="31">
        <v>0.90997229916897504</v>
      </c>
      <c r="DM33" s="31">
        <v>0.90984743411927882</v>
      </c>
      <c r="DN33" s="31">
        <v>0.88901362501859293</v>
      </c>
      <c r="DO33" s="31">
        <v>0.91954022988505746</v>
      </c>
      <c r="DP33" s="31">
        <v>0.91235632183908044</v>
      </c>
      <c r="DQ33" s="31">
        <v>0.92382271468144039</v>
      </c>
      <c r="DR33" s="31">
        <v>0.90958904109589045</v>
      </c>
      <c r="DS33" s="31">
        <v>0.90387374461979919</v>
      </c>
      <c r="DT33" s="31">
        <v>0.9295977011494253</v>
      </c>
      <c r="DU33" s="31">
        <v>0.92602739726027394</v>
      </c>
      <c r="DV33" s="31">
        <v>0.91782959293299538</v>
      </c>
      <c r="DW33" s="31">
        <v>0.91364902506963785</v>
      </c>
      <c r="DX33" s="31">
        <v>0.92054794520547945</v>
      </c>
      <c r="DY33" s="31">
        <v>0.91364902506963785</v>
      </c>
      <c r="DZ33" s="31">
        <v>0.91574585635359118</v>
      </c>
      <c r="EA33" s="31">
        <v>0.93222683264177042</v>
      </c>
      <c r="EB33" s="31">
        <v>0.9232914923291492</v>
      </c>
      <c r="EC33" s="31">
        <v>0.92777777777777781</v>
      </c>
      <c r="ED33" s="31">
        <v>0.92098399349243487</v>
      </c>
      <c r="EE33" s="31">
        <v>0.94109589041095887</v>
      </c>
      <c r="EF33" s="31">
        <v>0.92479108635097496</v>
      </c>
      <c r="EG33" s="31">
        <v>0.95132127955493739</v>
      </c>
      <c r="EH33" s="31">
        <v>0.91988950276243098</v>
      </c>
      <c r="EI33" s="31">
        <v>0.94896551724137934</v>
      </c>
      <c r="EJ33" s="31">
        <v>0.93854748603351956</v>
      </c>
      <c r="EK33" s="31">
        <v>0.92211404728789981</v>
      </c>
      <c r="EL33" s="31">
        <v>0.93524640137744297</v>
      </c>
    </row>
    <row r="34" spans="2:142" x14ac:dyDescent="0.35">
      <c r="B34" s="20"/>
      <c r="C34" s="20"/>
      <c r="D34" s="20"/>
      <c r="E34" s="20"/>
      <c r="F34" s="20"/>
      <c r="G34" s="20"/>
      <c r="AL34" s="19" t="s">
        <v>254</v>
      </c>
      <c r="AM34" s="31">
        <v>0.94112554112554114</v>
      </c>
      <c r="AN34" s="31">
        <v>0.94696321642429426</v>
      </c>
      <c r="AO34" s="31">
        <v>0.92937123169681313</v>
      </c>
      <c r="AP34" s="31">
        <v>0.91880341880341876</v>
      </c>
      <c r="AQ34" s="31">
        <v>0.9307958477508651</v>
      </c>
      <c r="AR34" s="31">
        <v>0.92993079584775085</v>
      </c>
      <c r="AS34" s="31">
        <v>0.94632034632034634</v>
      </c>
      <c r="AT34" s="31">
        <v>0.93475862828128997</v>
      </c>
      <c r="AU34" s="31">
        <v>0.95069204152249132</v>
      </c>
      <c r="AV34" s="31">
        <v>0.95303159692570449</v>
      </c>
      <c r="AW34" s="31">
        <v>0.93865030674846628</v>
      </c>
      <c r="AX34" s="31">
        <v>0.94501718213058417</v>
      </c>
      <c r="AY34" s="31">
        <v>0.9561478933791917</v>
      </c>
      <c r="AZ34" s="31">
        <v>0.95804794520547942</v>
      </c>
      <c r="BA34" s="31">
        <v>0.95637296834901631</v>
      </c>
      <c r="BB34" s="31">
        <v>0.95113713346584772</v>
      </c>
      <c r="BC34" s="31">
        <v>0.93738977072310403</v>
      </c>
      <c r="BD34" s="31">
        <v>0.96076721883173499</v>
      </c>
      <c r="BE34" s="31">
        <v>0.8571428571428571</v>
      </c>
      <c r="BF34" s="31">
        <v>0.88860544217687076</v>
      </c>
      <c r="BG34" s="31">
        <v>0.93438320209973758</v>
      </c>
      <c r="BH34" s="31">
        <v>0.93097345132743359</v>
      </c>
      <c r="BI34" s="31">
        <v>0.93078970718722276</v>
      </c>
      <c r="BJ34" s="31">
        <v>0.92000737849842285</v>
      </c>
      <c r="BK34" s="31">
        <v>0.75802254986990458</v>
      </c>
      <c r="BL34" s="31">
        <v>0.90126582278481016</v>
      </c>
      <c r="BM34" s="31">
        <v>0.71366024518388793</v>
      </c>
      <c r="BN34" s="31">
        <v>0.77399650959860389</v>
      </c>
      <c r="BO34" s="31">
        <v>0.81818181818181823</v>
      </c>
      <c r="BP34" s="31">
        <v>0.87758620689655176</v>
      </c>
      <c r="BQ34" s="31">
        <v>0.8413793103448276</v>
      </c>
      <c r="BR34" s="31">
        <v>0.81201320898005769</v>
      </c>
      <c r="BS34" s="31">
        <v>0.90765171503957787</v>
      </c>
      <c r="BT34" s="31">
        <v>0.77023498694516968</v>
      </c>
      <c r="BU34" s="31">
        <v>0.88376220053238685</v>
      </c>
      <c r="BV34" s="31">
        <v>0.89035087719298245</v>
      </c>
      <c r="BW34" s="31">
        <v>0.9014821272885789</v>
      </c>
      <c r="BX34" s="31">
        <v>0.85614646904969482</v>
      </c>
      <c r="BY34" s="31">
        <v>0.8743500866551126</v>
      </c>
      <c r="BZ34" s="31">
        <v>0.86913978038621487</v>
      </c>
      <c r="CA34" s="31">
        <v>0.93127753303964755</v>
      </c>
      <c r="CB34" s="31">
        <v>0.92086330935251803</v>
      </c>
      <c r="CC34" s="31">
        <v>0.9241071428571429</v>
      </c>
      <c r="CD34" s="31">
        <v>0.86819727891156462</v>
      </c>
      <c r="CE34" s="31">
        <v>0.93321616871704749</v>
      </c>
      <c r="CF34" s="31">
        <v>0.95891608391608396</v>
      </c>
      <c r="CG34" s="31">
        <v>0.94081272084805656</v>
      </c>
      <c r="CH34" s="31">
        <v>0.92534146252029448</v>
      </c>
      <c r="CI34" s="31">
        <v>0.90703735881841874</v>
      </c>
      <c r="CJ34" s="31">
        <v>0.93345323741007191</v>
      </c>
      <c r="CK34" s="31">
        <v>0.8996509598603839</v>
      </c>
      <c r="CL34" s="31">
        <v>0.9107142857142857</v>
      </c>
      <c r="CM34" s="31">
        <v>0.9247787610619469</v>
      </c>
      <c r="CN34" s="31">
        <v>0.93556928508384818</v>
      </c>
      <c r="CO34" s="31">
        <v>0.92172383465259455</v>
      </c>
      <c r="CP34" s="31">
        <v>0.91898967465736425</v>
      </c>
      <c r="CQ34" s="31">
        <v>0.91224862888482627</v>
      </c>
      <c r="CR34" s="31">
        <v>0.92153443766346987</v>
      </c>
      <c r="CS34" s="31">
        <v>0.85766423357664234</v>
      </c>
      <c r="CT34" s="31">
        <v>0.86886708296164139</v>
      </c>
      <c r="CU34" s="31">
        <v>0.93800539083557954</v>
      </c>
      <c r="CV34" s="31">
        <v>0.92437722419928825</v>
      </c>
      <c r="CW34" s="31">
        <v>0.91472172351885095</v>
      </c>
      <c r="CX34" s="31">
        <v>0.90534553166289966</v>
      </c>
      <c r="CY34" s="31">
        <v>0.90530973451327434</v>
      </c>
      <c r="CZ34" s="31">
        <v>0.93755496921723835</v>
      </c>
      <c r="DA34" s="31">
        <v>0.87739130434782608</v>
      </c>
      <c r="DB34" s="31">
        <v>0.8783902012248469</v>
      </c>
      <c r="DC34" s="31">
        <v>0.89519650655021832</v>
      </c>
      <c r="DD34" s="31">
        <v>0.92819148936170215</v>
      </c>
      <c r="DE34" s="31">
        <v>0.90787119856887299</v>
      </c>
      <c r="DF34" s="31">
        <v>0.90427220054056845</v>
      </c>
      <c r="DG34" s="31">
        <v>0.91565217391304343</v>
      </c>
      <c r="DH34" s="31">
        <v>0.91688311688311686</v>
      </c>
      <c r="DI34" s="31">
        <v>0.91421143847486996</v>
      </c>
      <c r="DJ34" s="31">
        <v>0.92869415807560141</v>
      </c>
      <c r="DK34" s="31">
        <v>0.93939393939393945</v>
      </c>
      <c r="DL34" s="31">
        <v>0.95143104943625323</v>
      </c>
      <c r="DM34" s="31">
        <v>0.95324675324675323</v>
      </c>
      <c r="DN34" s="31">
        <v>0.93135894706051103</v>
      </c>
      <c r="DO34" s="31">
        <v>0.95342706502636199</v>
      </c>
      <c r="DP34" s="31">
        <v>0.96945898778359507</v>
      </c>
      <c r="DQ34" s="31">
        <v>0.88458149779735684</v>
      </c>
      <c r="DR34" s="31">
        <v>0.91681260945709286</v>
      </c>
      <c r="DS34" s="31">
        <v>0.94694960212201595</v>
      </c>
      <c r="DT34" s="31">
        <v>0.95383275261324041</v>
      </c>
      <c r="DU34" s="31">
        <v>0.96187943262411346</v>
      </c>
      <c r="DV34" s="31">
        <v>0.94099170677482513</v>
      </c>
      <c r="DW34" s="31">
        <v>0.93804537521815012</v>
      </c>
      <c r="DX34" s="31">
        <v>0.97012302284710017</v>
      </c>
      <c r="DY34" s="31">
        <v>0.89905902480752775</v>
      </c>
      <c r="DZ34" s="31">
        <v>0.90042918454935628</v>
      </c>
      <c r="EA34" s="31">
        <v>0.96488147497805088</v>
      </c>
      <c r="EB34" s="31">
        <v>0.95888013998250221</v>
      </c>
      <c r="EC34" s="31">
        <v>0.94764397905759157</v>
      </c>
      <c r="ED34" s="31">
        <v>0.93986602877718262</v>
      </c>
      <c r="EE34" s="31">
        <v>0.9296875</v>
      </c>
      <c r="EF34" s="31">
        <v>0.95034246575342463</v>
      </c>
      <c r="EG34" s="31">
        <v>0.88820960698689955</v>
      </c>
      <c r="EH34" s="31">
        <v>0.90815450643776829</v>
      </c>
      <c r="EI34" s="31">
        <v>0.90633130962705988</v>
      </c>
      <c r="EJ34" s="31">
        <v>0.94188034188034186</v>
      </c>
      <c r="EK34" s="31">
        <v>0.92893835616438358</v>
      </c>
      <c r="EL34" s="31">
        <v>0.92193486954998249</v>
      </c>
    </row>
    <row r="35" spans="2:142" ht="14.25" customHeight="1" x14ac:dyDescent="0.35">
      <c r="B35" s="20"/>
      <c r="C35" s="20"/>
      <c r="D35" s="20"/>
      <c r="E35" s="20"/>
      <c r="F35" s="20"/>
      <c r="G35" s="20"/>
      <c r="AL35" s="19" t="s">
        <v>88</v>
      </c>
      <c r="AM35" s="31">
        <v>0.92005420054200537</v>
      </c>
      <c r="AN35" s="31">
        <v>0.93057409879839781</v>
      </c>
      <c r="AO35" s="31">
        <v>0.87801608579088475</v>
      </c>
      <c r="AP35" s="31">
        <v>0.96021220159151188</v>
      </c>
      <c r="AQ35" s="31">
        <v>0.94204851752021568</v>
      </c>
      <c r="AR35" s="31">
        <v>0.92904953145917002</v>
      </c>
      <c r="AS35" s="31">
        <v>0.93288590604026844</v>
      </c>
      <c r="AT35" s="31">
        <v>0.92754864882035049</v>
      </c>
      <c r="AU35" s="31">
        <v>0.92370572207084467</v>
      </c>
      <c r="AV35" s="31">
        <v>0.94757536041939716</v>
      </c>
      <c r="AW35" s="31">
        <v>0.94569536423841061</v>
      </c>
      <c r="AX35" s="31">
        <v>0.89560439560439564</v>
      </c>
      <c r="AY35" s="31">
        <v>0.9553219448094612</v>
      </c>
      <c r="AZ35" s="31">
        <v>0.96993464052287581</v>
      </c>
      <c r="BA35" s="31">
        <v>0.97503285151116947</v>
      </c>
      <c r="BB35" s="31">
        <v>0.94469575416807938</v>
      </c>
      <c r="BC35" s="31">
        <v>0.9027027027027027</v>
      </c>
      <c r="BD35" s="31">
        <v>0.90157480314960625</v>
      </c>
      <c r="BE35" s="31">
        <v>0.88888888888888884</v>
      </c>
      <c r="BF35" s="31">
        <v>0.93939393939393945</v>
      </c>
      <c r="BG35" s="31">
        <v>0.93975903614457834</v>
      </c>
      <c r="BH35" s="31">
        <v>0.95680628272251311</v>
      </c>
      <c r="BI35" s="31">
        <v>0.91874180865006549</v>
      </c>
      <c r="BJ35" s="31">
        <v>0.92112392309318492</v>
      </c>
      <c r="BK35" s="31">
        <v>0.84815321477428185</v>
      </c>
      <c r="BL35" s="31">
        <v>0.946524064171123</v>
      </c>
      <c r="BM35" s="31">
        <v>0.79066478076379065</v>
      </c>
      <c r="BN35" s="31">
        <v>0.76793248945147674</v>
      </c>
      <c r="BO35" s="31">
        <v>0.8867924528301887</v>
      </c>
      <c r="BP35" s="31">
        <v>0.92627345844504017</v>
      </c>
      <c r="BQ35" s="31">
        <v>0.89508632138114208</v>
      </c>
      <c r="BR35" s="31">
        <v>0.86591811168814903</v>
      </c>
      <c r="BS35" s="31">
        <v>0.90520694259012013</v>
      </c>
      <c r="BT35" s="31">
        <v>0.8943758573388203</v>
      </c>
      <c r="BU35" s="31">
        <v>0.90607734806629836</v>
      </c>
      <c r="BV35" s="31">
        <v>0.92021276595744683</v>
      </c>
      <c r="BW35" s="31">
        <v>0.94765840220385678</v>
      </c>
      <c r="BX35" s="31">
        <v>0.92592592592592593</v>
      </c>
      <c r="BY35" s="31">
        <v>0.93850267379679142</v>
      </c>
      <c r="BZ35" s="31">
        <v>0.91970855941132268</v>
      </c>
      <c r="CA35" s="31">
        <v>0.92005420054200537</v>
      </c>
      <c r="CB35" s="31">
        <v>0.93066666666666664</v>
      </c>
      <c r="CC35" s="31">
        <v>0.9180977542932629</v>
      </c>
      <c r="CD35" s="31">
        <v>0.94055482166446502</v>
      </c>
      <c r="CE35" s="31">
        <v>0.94031830238726788</v>
      </c>
      <c r="CF35" s="31">
        <v>0.95256916996047436</v>
      </c>
      <c r="CG35" s="31">
        <v>0.95327102803738317</v>
      </c>
      <c r="CH35" s="31">
        <v>0.93650456336450361</v>
      </c>
      <c r="CI35" s="31">
        <v>0.93211488250652741</v>
      </c>
      <c r="CJ35" s="31">
        <v>0.94764397905759157</v>
      </c>
      <c r="CK35" s="31">
        <v>0.9329829172141918</v>
      </c>
      <c r="CL35" s="31">
        <v>0.95131578947368423</v>
      </c>
      <c r="CM35" s="31">
        <v>0.91152815013404831</v>
      </c>
      <c r="CN35" s="31">
        <v>0.94605263157894737</v>
      </c>
      <c r="CO35" s="31">
        <v>0.94086727989487517</v>
      </c>
      <c r="CP35" s="31">
        <v>0.93750080426569504</v>
      </c>
      <c r="CQ35" s="31">
        <v>0.93038821954484607</v>
      </c>
      <c r="CR35" s="31">
        <v>0.94293125810635536</v>
      </c>
      <c r="CS35" s="31">
        <v>0.92027027027027031</v>
      </c>
      <c r="CT35" s="31">
        <v>0.92098092643051777</v>
      </c>
      <c r="CU35" s="31">
        <v>0.92772667542706966</v>
      </c>
      <c r="CV35" s="31">
        <v>0.95827725437415878</v>
      </c>
      <c r="CW35" s="31">
        <v>0.92847503373819162</v>
      </c>
      <c r="CX35" s="31">
        <v>0.93272137684162992</v>
      </c>
      <c r="CY35" s="31">
        <v>0.97066666666666668</v>
      </c>
      <c r="CZ35" s="31">
        <v>0.94896551724137934</v>
      </c>
      <c r="DA35" s="31">
        <v>0.91069012178619757</v>
      </c>
      <c r="DB35" s="31">
        <v>0.95526315789473681</v>
      </c>
      <c r="DC35" s="31">
        <v>0.9442970822281167</v>
      </c>
      <c r="DD35" s="31">
        <v>0.9507523939808481</v>
      </c>
      <c r="DE35" s="31">
        <v>0.94195250659630603</v>
      </c>
      <c r="DF35" s="31">
        <v>0.94608392091346438</v>
      </c>
      <c r="DG35" s="31">
        <v>0.94</v>
      </c>
      <c r="DH35" s="31">
        <v>0.93489583333333337</v>
      </c>
      <c r="DI35" s="31">
        <v>0.93288590604026844</v>
      </c>
      <c r="DJ35" s="31">
        <v>0.93691275167785237</v>
      </c>
      <c r="DK35" s="31">
        <v>0.94623655913978499</v>
      </c>
      <c r="DL35" s="31">
        <v>0.94986807387862793</v>
      </c>
      <c r="DM35" s="31">
        <v>0.95833333333333337</v>
      </c>
      <c r="DN35" s="31">
        <v>0.94273320820045725</v>
      </c>
      <c r="DO35" s="31">
        <v>0.94854881266490765</v>
      </c>
      <c r="DP35" s="31">
        <v>0.9658344283837057</v>
      </c>
      <c r="DQ35" s="31">
        <v>0.93608521970705727</v>
      </c>
      <c r="DR35" s="31">
        <v>0.93866666666666665</v>
      </c>
      <c r="DS35" s="31">
        <v>0.92348284960422167</v>
      </c>
      <c r="DT35" s="31">
        <v>0.97244094488188981</v>
      </c>
      <c r="DU35" s="31">
        <v>0.96829590488771466</v>
      </c>
      <c r="DV35" s="31">
        <v>0.95047926097088031</v>
      </c>
      <c r="DW35" s="31">
        <v>0.95358090185676392</v>
      </c>
      <c r="DX35" s="31">
        <v>0.95795006570302232</v>
      </c>
      <c r="DY35" s="31">
        <v>0.9453125</v>
      </c>
      <c r="DZ35" s="31">
        <v>0.9464052287581699</v>
      </c>
      <c r="EA35" s="31">
        <v>0.95657894736842108</v>
      </c>
      <c r="EB35" s="31">
        <v>0.94251336898395721</v>
      </c>
      <c r="EC35" s="31">
        <v>0.96010638297872342</v>
      </c>
      <c r="ED35" s="31">
        <v>0.951778199378437</v>
      </c>
      <c r="EE35" s="31">
        <v>0.95822454308093996</v>
      </c>
      <c r="EF35" s="31">
        <v>0.97809278350515461</v>
      </c>
      <c r="EG35" s="31">
        <v>0.93085106382978722</v>
      </c>
      <c r="EH35" s="31">
        <v>0.94966887417218548</v>
      </c>
      <c r="EI35" s="31">
        <v>0.94935064935064939</v>
      </c>
      <c r="EJ35" s="31">
        <v>0.97935483870967743</v>
      </c>
      <c r="EK35" s="31">
        <v>0.96119016817593794</v>
      </c>
      <c r="EL35" s="31">
        <v>0.95810470297490458</v>
      </c>
    </row>
    <row r="36" spans="2:142" x14ac:dyDescent="0.35">
      <c r="AL36" s="19" t="s">
        <v>89</v>
      </c>
      <c r="AM36" s="31">
        <v>0.89930555555555558</v>
      </c>
      <c r="AN36" s="31">
        <v>0.92482517482517479</v>
      </c>
      <c r="AO36" s="31">
        <v>0.88194444444444442</v>
      </c>
      <c r="AP36" s="31">
        <v>0.87326388888888884</v>
      </c>
      <c r="AQ36" s="31">
        <v>0.94230769230769229</v>
      </c>
      <c r="AR36" s="31">
        <v>0.92132867132867136</v>
      </c>
      <c r="AS36" s="31">
        <v>0.91083916083916083</v>
      </c>
      <c r="AT36" s="31">
        <v>0.90768779831279833</v>
      </c>
      <c r="AU36" s="31">
        <v>0.88123924268502585</v>
      </c>
      <c r="AV36" s="31">
        <v>0.90625</v>
      </c>
      <c r="AW36" s="31">
        <v>0.87435456110154908</v>
      </c>
      <c r="AX36" s="31">
        <v>0.87263339070567991</v>
      </c>
      <c r="AY36" s="31">
        <v>0.90017211703958688</v>
      </c>
      <c r="AZ36" s="31">
        <v>0.91319444444444442</v>
      </c>
      <c r="BA36" s="31">
        <v>0.88468158347676418</v>
      </c>
      <c r="BB36" s="31">
        <v>0.89036076277900711</v>
      </c>
      <c r="BC36" s="31">
        <v>0.83304647160068845</v>
      </c>
      <c r="BD36" s="31">
        <v>0.89845094664371772</v>
      </c>
      <c r="BE36" s="31">
        <v>0.82788296041308085</v>
      </c>
      <c r="BF36" s="31">
        <v>0.77108433734939763</v>
      </c>
      <c r="BG36" s="31">
        <v>0.84509466437177283</v>
      </c>
      <c r="BH36" s="31">
        <v>0.87951807228915657</v>
      </c>
      <c r="BI36" s="31">
        <v>0.86574870912220314</v>
      </c>
      <c r="BJ36" s="31">
        <v>0.84583230882714544</v>
      </c>
      <c r="BK36" s="31">
        <v>0.76936316695352835</v>
      </c>
      <c r="BL36" s="31">
        <v>0.81411359724612742</v>
      </c>
      <c r="BM36" s="31">
        <v>0.7091222030981067</v>
      </c>
      <c r="BN36" s="31">
        <v>0.74526678141135971</v>
      </c>
      <c r="BO36" s="31">
        <v>0.80378657487091221</v>
      </c>
      <c r="BP36" s="31">
        <v>0.81927710843373491</v>
      </c>
      <c r="BQ36" s="31">
        <v>0.83648881239242689</v>
      </c>
      <c r="BR36" s="31">
        <v>0.7853454634865995</v>
      </c>
      <c r="BS36" s="31">
        <v>0.87951807228915657</v>
      </c>
      <c r="BT36" s="31">
        <v>0.79173838209982783</v>
      </c>
      <c r="BU36" s="31">
        <v>0.83648881239242689</v>
      </c>
      <c r="BV36" s="31">
        <v>0.84337349397590367</v>
      </c>
      <c r="BW36" s="31">
        <v>0.8571428571428571</v>
      </c>
      <c r="BX36" s="31">
        <v>0.81067125645438898</v>
      </c>
      <c r="BY36" s="31">
        <v>0.85025817555938032</v>
      </c>
      <c r="BZ36" s="31">
        <v>0.83845586427342023</v>
      </c>
      <c r="CA36" s="31">
        <v>0.87263339070567991</v>
      </c>
      <c r="CB36" s="31">
        <v>0.90189328743545616</v>
      </c>
      <c r="CC36" s="31">
        <v>0.87091222030981064</v>
      </c>
      <c r="CD36" s="31">
        <v>0.86574870912220314</v>
      </c>
      <c r="CE36" s="31">
        <v>0.90361445783132532</v>
      </c>
      <c r="CF36" s="31">
        <v>0.90533562822719449</v>
      </c>
      <c r="CG36" s="31">
        <v>0.91566265060240959</v>
      </c>
      <c r="CH36" s="31">
        <v>0.89082862060486845</v>
      </c>
      <c r="CI36" s="31">
        <v>0.83476764199655762</v>
      </c>
      <c r="CJ36" s="31">
        <v>0.91566265060240959</v>
      </c>
      <c r="CK36" s="31">
        <v>0.85025817555938032</v>
      </c>
      <c r="CL36" s="31">
        <v>0.8571428571428571</v>
      </c>
      <c r="CM36" s="31">
        <v>0.86746987951807231</v>
      </c>
      <c r="CN36" s="31">
        <v>0.90877796901893293</v>
      </c>
      <c r="CO36" s="31">
        <v>0.87951807228915657</v>
      </c>
      <c r="CP36" s="31">
        <v>0.8733710351610523</v>
      </c>
      <c r="CQ36" s="31">
        <v>0.846815834767642</v>
      </c>
      <c r="CR36" s="31">
        <v>0.88296041308089501</v>
      </c>
      <c r="CS36" s="31">
        <v>0.81411359724612742</v>
      </c>
      <c r="CT36" s="31">
        <v>0.83820998278829606</v>
      </c>
      <c r="CU36" s="31">
        <v>0.846815834767642</v>
      </c>
      <c r="CV36" s="31">
        <v>0.86402753872633387</v>
      </c>
      <c r="CW36" s="31">
        <v>0.86058519793459554</v>
      </c>
      <c r="CX36" s="31">
        <v>0.85050405704450449</v>
      </c>
      <c r="CY36" s="31">
        <v>0.88675958188153314</v>
      </c>
      <c r="CZ36" s="31">
        <v>0.88850174216027877</v>
      </c>
      <c r="DA36" s="31">
        <v>0.87630662020905925</v>
      </c>
      <c r="DB36" s="31">
        <v>0.90766550522648082</v>
      </c>
      <c r="DC36" s="31">
        <v>0.9006968641114983</v>
      </c>
      <c r="DD36" s="31">
        <v>0.88327526132404177</v>
      </c>
      <c r="DE36" s="31">
        <v>0.87282229965156799</v>
      </c>
      <c r="DF36" s="31">
        <v>0.88800398208063724</v>
      </c>
      <c r="DG36" s="31">
        <v>0.86933797909407662</v>
      </c>
      <c r="DH36" s="31">
        <v>0.91811846689895471</v>
      </c>
      <c r="DI36" s="31">
        <v>0.84413309982486862</v>
      </c>
      <c r="DJ36" s="31">
        <v>0.91074681238615662</v>
      </c>
      <c r="DK36" s="31">
        <v>0.8902439024390244</v>
      </c>
      <c r="DL36" s="31">
        <v>0.89198606271777003</v>
      </c>
      <c r="DM36" s="31">
        <v>0.9006968641114983</v>
      </c>
      <c r="DN36" s="31">
        <v>0.88932331249604979</v>
      </c>
      <c r="DO36" s="31">
        <v>0.89291882556131263</v>
      </c>
      <c r="DP36" s="31">
        <v>0.88830715532286209</v>
      </c>
      <c r="DQ36" s="31">
        <v>0.86355785837651122</v>
      </c>
      <c r="DR36" s="31">
        <v>0.86355785837651122</v>
      </c>
      <c r="DS36" s="31">
        <v>0.90575916230366493</v>
      </c>
      <c r="DT36" s="31">
        <v>0.89528795811518325</v>
      </c>
      <c r="DU36" s="31">
        <v>0.90052356020942403</v>
      </c>
      <c r="DV36" s="31">
        <v>0.88713033975221001</v>
      </c>
      <c r="DW36" s="31">
        <v>0.83419689119170981</v>
      </c>
      <c r="DX36" s="31">
        <v>0.88428324697754745</v>
      </c>
      <c r="DY36" s="31">
        <v>0.83246977547495682</v>
      </c>
      <c r="DZ36" s="31">
        <v>0.83419689119170981</v>
      </c>
      <c r="EA36" s="31">
        <v>0.87737478411053538</v>
      </c>
      <c r="EB36" s="31">
        <v>0.86183074265975823</v>
      </c>
      <c r="EC36" s="31">
        <v>0.88601036269430056</v>
      </c>
      <c r="ED36" s="31">
        <v>0.85862324204293117</v>
      </c>
      <c r="EE36" s="31">
        <v>0.88428324697754745</v>
      </c>
      <c r="EF36" s="31">
        <v>0.86528497409326421</v>
      </c>
      <c r="EG36" s="31">
        <v>0.86528497409326421</v>
      </c>
      <c r="EH36" s="31">
        <v>0.88428324697754745</v>
      </c>
      <c r="EI36" s="31">
        <v>0.89119170984455953</v>
      </c>
      <c r="EJ36" s="31">
        <v>0.88773747841105355</v>
      </c>
      <c r="EK36" s="31">
        <v>0.88601036269430056</v>
      </c>
      <c r="EL36" s="31">
        <v>0.88058228472736233</v>
      </c>
    </row>
    <row r="37" spans="2:142" x14ac:dyDescent="0.35">
      <c r="AL37" s="19" t="s">
        <v>90</v>
      </c>
      <c r="AM37" s="31">
        <v>0.93785310734463279</v>
      </c>
      <c r="AN37" s="31">
        <v>0.93770226537216828</v>
      </c>
      <c r="AO37" s="31">
        <v>0.92208835341365458</v>
      </c>
      <c r="AP37" s="31">
        <v>0.94262948207171315</v>
      </c>
      <c r="AQ37" s="31">
        <v>0.93200000000000005</v>
      </c>
      <c r="AR37" s="31">
        <v>0.94698795180722894</v>
      </c>
      <c r="AS37" s="31">
        <v>0.93548387096774188</v>
      </c>
      <c r="AT37" s="31">
        <v>0.93639214728244846</v>
      </c>
      <c r="AU37" s="31">
        <v>0.94173228346456694</v>
      </c>
      <c r="AV37" s="31">
        <v>0.94085603112840466</v>
      </c>
      <c r="AW37" s="31">
        <v>0.95321173671689141</v>
      </c>
      <c r="AX37" s="31">
        <v>0.93443917851500791</v>
      </c>
      <c r="AY37" s="31">
        <v>0.94996090695856139</v>
      </c>
      <c r="AZ37" s="31">
        <v>0.95285935085007722</v>
      </c>
      <c r="BA37" s="31">
        <v>0.95397815912636508</v>
      </c>
      <c r="BB37" s="31">
        <v>0.94671966382283923</v>
      </c>
      <c r="BC37" s="31">
        <v>0.91544965411222134</v>
      </c>
      <c r="BD37" s="31">
        <v>0.94815396700706989</v>
      </c>
      <c r="BE37" s="31">
        <v>0.89123630672926446</v>
      </c>
      <c r="BF37" s="31">
        <v>0.88566953797963976</v>
      </c>
      <c r="BG37" s="31">
        <v>0.9591516103692066</v>
      </c>
      <c r="BH37" s="31">
        <v>0.94491854150504262</v>
      </c>
      <c r="BI37" s="31">
        <v>0.95509893455098938</v>
      </c>
      <c r="BJ37" s="31">
        <v>0.92852550746477625</v>
      </c>
      <c r="BK37" s="31">
        <v>0.8476716653512234</v>
      </c>
      <c r="BL37" s="31">
        <v>0.92486444616576302</v>
      </c>
      <c r="BM37" s="31">
        <v>0.80571428571428572</v>
      </c>
      <c r="BN37" s="31">
        <v>0.8326563769293257</v>
      </c>
      <c r="BO37" s="31">
        <v>0.87617554858934166</v>
      </c>
      <c r="BP37" s="31">
        <v>0.93039443155452439</v>
      </c>
      <c r="BQ37" s="31">
        <v>0.91978193146417442</v>
      </c>
      <c r="BR37" s="31">
        <v>0.87675124082409128</v>
      </c>
      <c r="BS37" s="31">
        <v>0.94686756542426642</v>
      </c>
      <c r="BT37" s="31">
        <v>0.8689320388349514</v>
      </c>
      <c r="BU37" s="31">
        <v>0.91474103585657374</v>
      </c>
      <c r="BV37" s="31">
        <v>0.89427662957074727</v>
      </c>
      <c r="BW37" s="31">
        <v>0.92344119968429361</v>
      </c>
      <c r="BX37" s="31">
        <v>0.8811802232854864</v>
      </c>
      <c r="BY37" s="31">
        <v>0.92301587301587307</v>
      </c>
      <c r="BZ37" s="31">
        <v>0.90749350938174178</v>
      </c>
      <c r="CA37" s="31">
        <v>0.9046474358974359</v>
      </c>
      <c r="CB37" s="31">
        <v>0.90205371248025279</v>
      </c>
      <c r="CC37" s="31">
        <v>0.91423948220064721</v>
      </c>
      <c r="CD37" s="31">
        <v>0.89439999999999997</v>
      </c>
      <c r="CE37" s="31">
        <v>0.90845070422535212</v>
      </c>
      <c r="CF37" s="31">
        <v>0.90625</v>
      </c>
      <c r="CG37" s="31">
        <v>0.91181102362204725</v>
      </c>
      <c r="CH37" s="31">
        <v>0.90597890834653361</v>
      </c>
      <c r="CI37" s="31">
        <v>0.90088638195004034</v>
      </c>
      <c r="CJ37" s="31">
        <v>0.88580246913580252</v>
      </c>
      <c r="CK37" s="31">
        <v>0.89657980456026054</v>
      </c>
      <c r="CL37" s="31">
        <v>0.88022508038585212</v>
      </c>
      <c r="CM37" s="31">
        <v>0.89737470167064437</v>
      </c>
      <c r="CN37" s="31">
        <v>0.89638932496075352</v>
      </c>
      <c r="CO37" s="31">
        <v>0.89238020424194819</v>
      </c>
      <c r="CP37" s="31">
        <v>0.8928054238436145</v>
      </c>
      <c r="CQ37" s="31">
        <v>0.89795918367346939</v>
      </c>
      <c r="CR37" s="31">
        <v>0.92938311688311692</v>
      </c>
      <c r="CS37" s="31">
        <v>0.89282769991755973</v>
      </c>
      <c r="CT37" s="31">
        <v>0.90953947368421051</v>
      </c>
      <c r="CU37" s="31">
        <v>0.93392425463336015</v>
      </c>
      <c r="CV37" s="31">
        <v>0.9605826906598115</v>
      </c>
      <c r="CW37" s="31">
        <v>0.92822185970636217</v>
      </c>
      <c r="CX37" s="31">
        <v>0.92177689702255583</v>
      </c>
      <c r="CY37" s="31">
        <v>0.92736077481840196</v>
      </c>
      <c r="CZ37" s="31">
        <v>0.92776886035313</v>
      </c>
      <c r="DA37" s="31">
        <v>0.91592562651576392</v>
      </c>
      <c r="DB37" s="31">
        <v>0.89178515007898895</v>
      </c>
      <c r="DC37" s="31">
        <v>0.94041867954911429</v>
      </c>
      <c r="DD37" s="31">
        <v>0.91839999999999999</v>
      </c>
      <c r="DE37" s="31">
        <v>0.91767554479418889</v>
      </c>
      <c r="DF37" s="31">
        <v>0.91990494801565525</v>
      </c>
      <c r="DG37" s="31">
        <v>0.92845659163987138</v>
      </c>
      <c r="DH37" s="31">
        <v>0.89550072568940497</v>
      </c>
      <c r="DI37" s="31">
        <v>0.93654618473895579</v>
      </c>
      <c r="DJ37" s="31">
        <v>0.92782678428227749</v>
      </c>
      <c r="DK37" s="31">
        <v>0.91653418124006358</v>
      </c>
      <c r="DL37" s="31">
        <v>0.91920000000000002</v>
      </c>
      <c r="DM37" s="31">
        <v>0.91242038216560506</v>
      </c>
      <c r="DN37" s="31">
        <v>0.91949783567945398</v>
      </c>
      <c r="DO37" s="31">
        <v>0.94395516413130509</v>
      </c>
      <c r="DP37" s="31">
        <v>0.94374009508716328</v>
      </c>
      <c r="DQ37" s="31">
        <v>0.94453507340946163</v>
      </c>
      <c r="DR37" s="31">
        <v>0.92457420924574207</v>
      </c>
      <c r="DS37" s="31">
        <v>0.96184419713831482</v>
      </c>
      <c r="DT37" s="31">
        <v>0.95970991136180495</v>
      </c>
      <c r="DU37" s="31">
        <v>0.95476190476190481</v>
      </c>
      <c r="DV37" s="31">
        <v>0.94758865073367093</v>
      </c>
      <c r="DW37" s="31">
        <v>0.94333599361532328</v>
      </c>
      <c r="DX37" s="31">
        <v>0.93814432989690721</v>
      </c>
      <c r="DY37" s="31">
        <v>0.92338072669826221</v>
      </c>
      <c r="DZ37" s="31">
        <v>0.93428345209817898</v>
      </c>
      <c r="EA37" s="31">
        <v>0.95776892430278882</v>
      </c>
      <c r="EB37" s="31">
        <v>0.93720190779014312</v>
      </c>
      <c r="EC37" s="31">
        <v>0.94935691318327975</v>
      </c>
      <c r="ED37" s="31">
        <v>0.94049603536926907</v>
      </c>
      <c r="EE37" s="31">
        <v>0.93412698412698414</v>
      </c>
      <c r="EF37" s="31">
        <v>0.94790046656298599</v>
      </c>
      <c r="EG37" s="31">
        <v>0.90226171243941844</v>
      </c>
      <c r="EH37" s="31">
        <v>0.91606714628297359</v>
      </c>
      <c r="EI37" s="31">
        <v>0.94075829383886256</v>
      </c>
      <c r="EJ37" s="31">
        <v>0.94936708860759489</v>
      </c>
      <c r="EK37" s="31">
        <v>0.94873817034700314</v>
      </c>
      <c r="EL37" s="31">
        <v>0.93417426602940323</v>
      </c>
    </row>
    <row r="38" spans="2:142" x14ac:dyDescent="0.35">
      <c r="AL38" s="19" t="s">
        <v>91</v>
      </c>
      <c r="AM38" s="31">
        <v>0.88325991189427311</v>
      </c>
      <c r="AN38" s="31">
        <v>0.88815789473684215</v>
      </c>
      <c r="AO38" s="31">
        <v>0.90748898678414092</v>
      </c>
      <c r="AP38" s="31">
        <v>0.92256637168141598</v>
      </c>
      <c r="AQ38" s="31">
        <v>0.91868131868131864</v>
      </c>
      <c r="AR38" s="31">
        <v>0.87912087912087911</v>
      </c>
      <c r="AS38" s="31">
        <v>0.92222222222222228</v>
      </c>
      <c r="AT38" s="31">
        <v>0.90307108358872745</v>
      </c>
      <c r="AU38" s="31">
        <v>0.9072847682119205</v>
      </c>
      <c r="AV38" s="31">
        <v>0.94565217391304346</v>
      </c>
      <c r="AW38" s="31">
        <v>0.90112359550561794</v>
      </c>
      <c r="AX38" s="31">
        <v>0.90308370044052866</v>
      </c>
      <c r="AY38" s="31">
        <v>0.88069414316702821</v>
      </c>
      <c r="AZ38" s="31">
        <v>0.93318965517241381</v>
      </c>
      <c r="BA38" s="31">
        <v>0.90712742980561556</v>
      </c>
      <c r="BB38" s="31">
        <v>0.91116506660230967</v>
      </c>
      <c r="BC38" s="31">
        <v>0.92666666666666664</v>
      </c>
      <c r="BD38" s="31">
        <v>0.94678492239467849</v>
      </c>
      <c r="BE38" s="31">
        <v>0.89135254988913526</v>
      </c>
      <c r="BF38" s="31">
        <v>0.91818181818181821</v>
      </c>
      <c r="BG38" s="31">
        <v>0.92873051224944325</v>
      </c>
      <c r="BH38" s="31">
        <v>0.92407809110629069</v>
      </c>
      <c r="BI38" s="31">
        <v>0.92374727668845313</v>
      </c>
      <c r="BJ38" s="31">
        <v>0.92279169102521219</v>
      </c>
      <c r="BK38" s="31">
        <v>0.85777777777777775</v>
      </c>
      <c r="BL38" s="31">
        <v>0.92359550561797754</v>
      </c>
      <c r="BM38" s="31">
        <v>0.75717439293598232</v>
      </c>
      <c r="BN38" s="31">
        <v>0.75816993464052285</v>
      </c>
      <c r="BO38" s="31">
        <v>0.87061403508771928</v>
      </c>
      <c r="BP38" s="31">
        <v>0.90380313199105144</v>
      </c>
      <c r="BQ38" s="31">
        <v>0.85961123110151183</v>
      </c>
      <c r="BR38" s="31">
        <v>0.8472494298789347</v>
      </c>
      <c r="BS38" s="31">
        <v>0.90692640692640691</v>
      </c>
      <c r="BT38" s="31">
        <v>0.80349344978165937</v>
      </c>
      <c r="BU38" s="31">
        <v>0.89177489177489178</v>
      </c>
      <c r="BV38" s="31">
        <v>0.9329004329004329</v>
      </c>
      <c r="BW38" s="31">
        <v>0.92841648590021697</v>
      </c>
      <c r="BX38" s="31">
        <v>0.88444444444444448</v>
      </c>
      <c r="BY38" s="31">
        <v>0.92763157894736847</v>
      </c>
      <c r="BZ38" s="31">
        <v>0.89651252723934594</v>
      </c>
      <c r="CA38" s="31">
        <v>0.92391304347826086</v>
      </c>
      <c r="CB38" s="31">
        <v>0.95670995670995673</v>
      </c>
      <c r="CC38" s="31">
        <v>0.88583509513742076</v>
      </c>
      <c r="CD38" s="31">
        <v>0.90658174097664546</v>
      </c>
      <c r="CE38" s="31">
        <v>0.92826086956521736</v>
      </c>
      <c r="CF38" s="31">
        <v>0.97435897435897434</v>
      </c>
      <c r="CG38" s="31">
        <v>0.9673202614379085</v>
      </c>
      <c r="CH38" s="31">
        <v>0.93471142023776921</v>
      </c>
      <c r="CI38" s="31">
        <v>0.92920353982300885</v>
      </c>
      <c r="CJ38" s="31">
        <v>0.92978723404255315</v>
      </c>
      <c r="CK38" s="31">
        <v>0.92794759825327511</v>
      </c>
      <c r="CL38" s="31">
        <v>0.95851528384279472</v>
      </c>
      <c r="CM38" s="31">
        <v>0.89804772234273322</v>
      </c>
      <c r="CN38" s="31">
        <v>0.93991416309012876</v>
      </c>
      <c r="CO38" s="31">
        <v>0.91194968553459121</v>
      </c>
      <c r="CP38" s="31">
        <v>0.92790931813272637</v>
      </c>
      <c r="CQ38" s="31">
        <v>0.96487603305785119</v>
      </c>
      <c r="CR38" s="31">
        <v>0.96566523605150212</v>
      </c>
      <c r="CS38" s="31">
        <v>0.90778688524590168</v>
      </c>
      <c r="CT38" s="31">
        <v>0.93402061855670104</v>
      </c>
      <c r="CU38" s="31">
        <v>0.91277890466531442</v>
      </c>
      <c r="CV38" s="31">
        <v>0.96835443037974689</v>
      </c>
      <c r="CW38" s="31">
        <v>0.98947368421052628</v>
      </c>
      <c r="CX38" s="31">
        <v>0.94899368459536326</v>
      </c>
      <c r="CY38" s="31">
        <v>0.90611353711790388</v>
      </c>
      <c r="CZ38" s="31">
        <v>0.94297352342158858</v>
      </c>
      <c r="DA38" s="31">
        <v>0.86580086580086579</v>
      </c>
      <c r="DB38" s="31">
        <v>0.86984815618221256</v>
      </c>
      <c r="DC38" s="31">
        <v>0.9493392070484582</v>
      </c>
      <c r="DD38" s="31">
        <v>0.96794871794871795</v>
      </c>
      <c r="DE38" s="31">
        <v>0.97180043383947934</v>
      </c>
      <c r="DF38" s="31">
        <v>0.92483206305131804</v>
      </c>
      <c r="DG38" s="31">
        <v>0.89800443458980039</v>
      </c>
      <c r="DH38" s="31">
        <v>0.94117647058823528</v>
      </c>
      <c r="DI38" s="31">
        <v>0.8714596949891068</v>
      </c>
      <c r="DJ38" s="31">
        <v>0.89519650655021832</v>
      </c>
      <c r="DK38" s="31">
        <v>0.88888888888888884</v>
      </c>
      <c r="DL38" s="31">
        <v>0.92710706150341682</v>
      </c>
      <c r="DM38" s="31">
        <v>0.92889908256880738</v>
      </c>
      <c r="DN38" s="31">
        <v>0.90724744852549633</v>
      </c>
      <c r="DO38" s="31">
        <v>0.92904656319290468</v>
      </c>
      <c r="DP38" s="31">
        <v>0.91991341991341991</v>
      </c>
      <c r="DQ38" s="31">
        <v>0.91498881431767343</v>
      </c>
      <c r="DR38" s="31">
        <v>0.92873051224944325</v>
      </c>
      <c r="DS38" s="31">
        <v>0.96100917431192656</v>
      </c>
      <c r="DT38" s="31">
        <v>0.95787139689578715</v>
      </c>
      <c r="DU38" s="31">
        <v>0.95565410199556544</v>
      </c>
      <c r="DV38" s="31">
        <v>0.93817342612524579</v>
      </c>
      <c r="DW38" s="31">
        <v>0.88377192982456143</v>
      </c>
      <c r="DX38" s="31">
        <v>0.96666666666666667</v>
      </c>
      <c r="DY38" s="31">
        <v>0.91822429906542058</v>
      </c>
      <c r="DZ38" s="31">
        <v>0.96190476190476193</v>
      </c>
      <c r="EA38" s="31">
        <v>0.92359550561797754</v>
      </c>
      <c r="EB38" s="31">
        <v>0.94183445190156601</v>
      </c>
      <c r="EC38" s="31">
        <v>0.96213808463251671</v>
      </c>
      <c r="ED38" s="31">
        <v>0.93687652851621017</v>
      </c>
      <c r="EE38" s="31">
        <v>0.95899772209567202</v>
      </c>
      <c r="EF38" s="31">
        <v>0.98853211009174313</v>
      </c>
      <c r="EG38" s="31">
        <v>0.93548387096774188</v>
      </c>
      <c r="EH38" s="31">
        <v>0.93302540415704383</v>
      </c>
      <c r="EI38" s="31">
        <v>0.95899772209567202</v>
      </c>
      <c r="EJ38" s="31">
        <v>0.95</v>
      </c>
      <c r="EK38" s="31">
        <v>0.97254004576659037</v>
      </c>
      <c r="EL38" s="31">
        <v>0.95679669645349474</v>
      </c>
    </row>
    <row r="39" spans="2:142" x14ac:dyDescent="0.35">
      <c r="AL39" s="19" t="s">
        <v>92</v>
      </c>
      <c r="AM39" s="31">
        <v>1</v>
      </c>
      <c r="AN39" s="31">
        <v>0.91973244147157196</v>
      </c>
      <c r="AO39" s="31">
        <v>1</v>
      </c>
      <c r="AP39" s="31">
        <v>1</v>
      </c>
      <c r="AQ39" s="31">
        <v>1</v>
      </c>
      <c r="AR39" s="31">
        <v>1</v>
      </c>
      <c r="AS39" s="31">
        <v>1</v>
      </c>
      <c r="AT39" s="31">
        <v>0.98853320592451033</v>
      </c>
      <c r="AU39" s="31">
        <v>1</v>
      </c>
      <c r="AV39" s="31">
        <v>1</v>
      </c>
      <c r="AW39" s="31">
        <v>1</v>
      </c>
      <c r="AX39" s="31">
        <v>1</v>
      </c>
      <c r="AY39" s="31">
        <v>1</v>
      </c>
      <c r="AZ39" s="31">
        <v>1</v>
      </c>
      <c r="BA39" s="31">
        <v>1</v>
      </c>
      <c r="BB39" s="31">
        <v>1</v>
      </c>
      <c r="BC39" s="31">
        <v>0.98996655518394649</v>
      </c>
      <c r="BD39" s="31">
        <v>0.98662207357859533</v>
      </c>
      <c r="BE39" s="31">
        <v>0.97324414715719065</v>
      </c>
      <c r="BF39" s="31">
        <v>0.93979933110367897</v>
      </c>
      <c r="BG39" s="31">
        <v>0.97993311036789299</v>
      </c>
      <c r="BH39" s="31">
        <v>1</v>
      </c>
      <c r="BI39" s="31">
        <v>1</v>
      </c>
      <c r="BJ39" s="31">
        <v>0.98136645962732916</v>
      </c>
      <c r="BK39" s="31">
        <v>0.91304347826086951</v>
      </c>
      <c r="BL39" s="31">
        <v>0.96321070234113715</v>
      </c>
      <c r="BM39" s="31">
        <v>0.86956521739130432</v>
      </c>
      <c r="BN39" s="31">
        <v>0.77591973244147161</v>
      </c>
      <c r="BO39" s="31">
        <v>0.90301003344481601</v>
      </c>
      <c r="BP39" s="31">
        <v>0.97658862876254182</v>
      </c>
      <c r="BQ39" s="31">
        <v>0.97658862876254182</v>
      </c>
      <c r="BR39" s="31">
        <v>0.91113234591495462</v>
      </c>
      <c r="BS39" s="31">
        <v>0.95652173913043481</v>
      </c>
      <c r="BT39" s="31">
        <v>0.73244147157190631</v>
      </c>
      <c r="BU39" s="31">
        <v>0.9364548494983278</v>
      </c>
      <c r="BV39" s="31">
        <v>0.91638795986622068</v>
      </c>
      <c r="BW39" s="31">
        <v>0.94648829431438131</v>
      </c>
      <c r="BX39" s="31">
        <v>0.82274247491638797</v>
      </c>
      <c r="BY39" s="31">
        <v>0.8929765886287625</v>
      </c>
      <c r="BZ39" s="31">
        <v>0.88628762541806017</v>
      </c>
      <c r="CA39" s="31">
        <v>1</v>
      </c>
      <c r="CB39" s="31">
        <v>0.93979933110367897</v>
      </c>
      <c r="CC39" s="31">
        <v>1</v>
      </c>
      <c r="CD39" s="31">
        <v>1</v>
      </c>
      <c r="CE39" s="31">
        <v>1</v>
      </c>
      <c r="CF39" s="31">
        <v>0.98327759197324416</v>
      </c>
      <c r="CG39" s="31">
        <v>0.98996655518394649</v>
      </c>
      <c r="CH39" s="31">
        <v>0.98757763975155288</v>
      </c>
      <c r="CI39" s="31">
        <v>1</v>
      </c>
      <c r="CJ39" s="31">
        <v>1</v>
      </c>
      <c r="CK39" s="31">
        <v>1</v>
      </c>
      <c r="CL39" s="31">
        <v>1</v>
      </c>
      <c r="CM39" s="31">
        <v>1</v>
      </c>
      <c r="CN39" s="31">
        <v>0.98662207357859533</v>
      </c>
      <c r="CO39" s="31">
        <v>1</v>
      </c>
      <c r="CP39" s="31">
        <v>0.998088867654085</v>
      </c>
      <c r="CQ39" s="31">
        <v>0.97658862876254182</v>
      </c>
      <c r="CR39" s="31">
        <v>1</v>
      </c>
      <c r="CS39" s="31">
        <v>0.96655518394648832</v>
      </c>
      <c r="CT39" s="31">
        <v>0.97324414715719065</v>
      </c>
      <c r="CU39" s="31">
        <v>0.96655518394648832</v>
      </c>
      <c r="CV39" s="31">
        <v>1</v>
      </c>
      <c r="CW39" s="31">
        <v>0.96321070234113715</v>
      </c>
      <c r="CX39" s="31">
        <v>0.97802197802197799</v>
      </c>
      <c r="CY39" s="31">
        <v>0.99331103678929766</v>
      </c>
      <c r="CZ39" s="31">
        <v>0.98996655518394649</v>
      </c>
      <c r="DA39" s="31">
        <v>0.93979933110367897</v>
      </c>
      <c r="DB39" s="31">
        <v>0.86287625418060199</v>
      </c>
      <c r="DC39" s="31">
        <v>0.96321070234113715</v>
      </c>
      <c r="DD39" s="31">
        <v>0.9364548494983278</v>
      </c>
      <c r="DE39" s="31">
        <v>0.98662207357859533</v>
      </c>
      <c r="DF39" s="31">
        <v>0.95317725752508375</v>
      </c>
      <c r="DG39" s="31">
        <v>0.88963210702341133</v>
      </c>
      <c r="DH39" s="31">
        <v>0.9364548494983278</v>
      </c>
      <c r="DI39" s="31">
        <v>1</v>
      </c>
      <c r="DJ39" s="31">
        <v>0.95986622073578598</v>
      </c>
      <c r="DK39" s="31">
        <v>1</v>
      </c>
      <c r="DL39" s="31">
        <v>0.94648829431438131</v>
      </c>
      <c r="DM39" s="31">
        <v>0.93311036789297663</v>
      </c>
      <c r="DN39" s="31">
        <v>0.9522216913521262</v>
      </c>
      <c r="DO39" s="31">
        <v>0.98996655518394649</v>
      </c>
      <c r="DP39" s="31">
        <v>0.95652173913043481</v>
      </c>
      <c r="DQ39" s="31">
        <v>0.98996655518394649</v>
      </c>
      <c r="DR39" s="31">
        <v>0.95986622073578598</v>
      </c>
      <c r="DS39" s="31">
        <v>1</v>
      </c>
      <c r="DT39" s="31">
        <v>0.97324414715719065</v>
      </c>
      <c r="DU39" s="31">
        <v>1</v>
      </c>
      <c r="DV39" s="31">
        <v>0.98136645962732927</v>
      </c>
      <c r="DW39" s="31">
        <v>0.97324414715719065</v>
      </c>
      <c r="DX39" s="31">
        <v>0.95652173913043481</v>
      </c>
      <c r="DY39" s="31">
        <v>0.99331103678929766</v>
      </c>
      <c r="DZ39" s="31">
        <v>1</v>
      </c>
      <c r="EA39" s="31">
        <v>0.96655518394648832</v>
      </c>
      <c r="EB39" s="31">
        <v>0.98327759197324416</v>
      </c>
      <c r="EC39" s="31">
        <v>0.99331103678929766</v>
      </c>
      <c r="ED39" s="31">
        <v>0.98088867654085043</v>
      </c>
      <c r="EE39" s="31">
        <v>0.99331103678929766</v>
      </c>
      <c r="EF39" s="31">
        <v>1</v>
      </c>
      <c r="EG39" s="31">
        <v>0.95986622073578598</v>
      </c>
      <c r="EH39" s="31">
        <v>1</v>
      </c>
      <c r="EI39" s="31">
        <v>0.97993311036789299</v>
      </c>
      <c r="EJ39" s="31">
        <v>1</v>
      </c>
      <c r="EK39" s="31">
        <v>0.97993311036789299</v>
      </c>
      <c r="EL39" s="31">
        <v>0.98757763975155277</v>
      </c>
    </row>
    <row r="40" spans="2:142" x14ac:dyDescent="0.35">
      <c r="AL40" s="19" t="s">
        <v>93</v>
      </c>
      <c r="AM40" s="31">
        <v>0.95127353266888148</v>
      </c>
      <c r="AN40" s="31">
        <v>0.93602693602693599</v>
      </c>
      <c r="AO40" s="31">
        <v>0.9486607142857143</v>
      </c>
      <c r="AP40" s="31">
        <v>0.9475446428571429</v>
      </c>
      <c r="AQ40" s="31">
        <v>0.94320712694877507</v>
      </c>
      <c r="AR40" s="31">
        <v>0.93666666666666665</v>
      </c>
      <c r="AS40" s="31">
        <v>0.94883203559510565</v>
      </c>
      <c r="AT40" s="31">
        <v>0.9446016650070318</v>
      </c>
      <c r="AU40" s="31">
        <v>0.95359116022099444</v>
      </c>
      <c r="AV40" s="31">
        <v>0.93444444444444441</v>
      </c>
      <c r="AW40" s="31">
        <v>0.95253863134657835</v>
      </c>
      <c r="AX40" s="31">
        <v>0.94150110375275942</v>
      </c>
      <c r="AY40" s="31">
        <v>0.96132596685082872</v>
      </c>
      <c r="AZ40" s="31">
        <v>0.93038674033149171</v>
      </c>
      <c r="BA40" s="31">
        <v>0.94585635359116027</v>
      </c>
      <c r="BB40" s="31">
        <v>0.94566348579117965</v>
      </c>
      <c r="BC40" s="31">
        <v>0.94070695553021666</v>
      </c>
      <c r="BD40" s="31">
        <v>0.93487858719646799</v>
      </c>
      <c r="BE40" s="31">
        <v>0.94495412844036697</v>
      </c>
      <c r="BF40" s="31">
        <v>0.93402777777777779</v>
      </c>
      <c r="BG40" s="31">
        <v>0.94630872483221473</v>
      </c>
      <c r="BH40" s="31">
        <v>0.9664053751399776</v>
      </c>
      <c r="BI40" s="31">
        <v>0.94783573806881238</v>
      </c>
      <c r="BJ40" s="31">
        <v>0.94501675528369056</v>
      </c>
      <c r="BK40" s="31">
        <v>0.90481927710843368</v>
      </c>
      <c r="BL40" s="31">
        <v>0.92054483541430188</v>
      </c>
      <c r="BM40" s="31">
        <v>0.8365853658536585</v>
      </c>
      <c r="BN40" s="31">
        <v>0.87530562347188268</v>
      </c>
      <c r="BO40" s="31">
        <v>0.92182030338389731</v>
      </c>
      <c r="BP40" s="31">
        <v>0.93643586833144155</v>
      </c>
      <c r="BQ40" s="31">
        <v>0.92743764172335597</v>
      </c>
      <c r="BR40" s="31">
        <v>0.90327841646956752</v>
      </c>
      <c r="BS40" s="31">
        <v>0.95843230403800472</v>
      </c>
      <c r="BT40" s="31">
        <v>0.91064871481028153</v>
      </c>
      <c r="BU40" s="31">
        <v>0.95843230403800472</v>
      </c>
      <c r="BV40" s="31">
        <v>0.94711538461538458</v>
      </c>
      <c r="BW40" s="31">
        <v>0.94687131050767415</v>
      </c>
      <c r="BX40" s="31">
        <v>0.9193154034229829</v>
      </c>
      <c r="BY40" s="31">
        <v>0.93309002433090027</v>
      </c>
      <c r="BZ40" s="31">
        <v>0.93912934939474757</v>
      </c>
      <c r="CA40" s="31">
        <v>0.96935300794551649</v>
      </c>
      <c r="CB40" s="31">
        <v>0.9569377990430622</v>
      </c>
      <c r="CC40" s="31">
        <v>0.93928980526918671</v>
      </c>
      <c r="CD40" s="31">
        <v>0.92994350282485871</v>
      </c>
      <c r="CE40" s="31">
        <v>0.94766780432309439</v>
      </c>
      <c r="CF40" s="31">
        <v>0.96732788798133018</v>
      </c>
      <c r="CG40" s="31">
        <v>0.96420323325635104</v>
      </c>
      <c r="CH40" s="31">
        <v>0.95353186294905712</v>
      </c>
      <c r="CI40" s="31">
        <v>0.95144508670520234</v>
      </c>
      <c r="CJ40" s="31">
        <v>0.94387170675830467</v>
      </c>
      <c r="CK40" s="31">
        <v>0.94335260115606934</v>
      </c>
      <c r="CL40" s="31">
        <v>0.92699884125144849</v>
      </c>
      <c r="CM40" s="31">
        <v>0.95527522935779818</v>
      </c>
      <c r="CN40" s="31">
        <v>0.97482837528604116</v>
      </c>
      <c r="CO40" s="31">
        <v>0.96792668957617412</v>
      </c>
      <c r="CP40" s="31">
        <v>0.95195693287014826</v>
      </c>
      <c r="CQ40" s="31">
        <v>0.94131185270425777</v>
      </c>
      <c r="CR40" s="31">
        <v>0.94335260115606934</v>
      </c>
      <c r="CS40" s="31">
        <v>0.92369942196531796</v>
      </c>
      <c r="CT40" s="31">
        <v>0.92485549132947975</v>
      </c>
      <c r="CU40" s="31">
        <v>0.95496535796766746</v>
      </c>
      <c r="CV40" s="31">
        <v>0.95375722543352603</v>
      </c>
      <c r="CW40" s="31">
        <v>0.94585253456221197</v>
      </c>
      <c r="CX40" s="31">
        <v>0.94111349787407583</v>
      </c>
      <c r="CY40" s="31">
        <v>0.96885813148788924</v>
      </c>
      <c r="CZ40" s="31">
        <v>0.94450867052023124</v>
      </c>
      <c r="DA40" s="31">
        <v>0.96087456846950514</v>
      </c>
      <c r="DB40" s="31">
        <v>0.95449374288964728</v>
      </c>
      <c r="DC40" s="31">
        <v>0.97254004576659037</v>
      </c>
      <c r="DD40" s="31">
        <v>0.95925494761350405</v>
      </c>
      <c r="DE40" s="31">
        <v>0.96678121420389462</v>
      </c>
      <c r="DF40" s="31">
        <v>0.96104447442160879</v>
      </c>
      <c r="DG40" s="31">
        <v>0.93847874720357938</v>
      </c>
      <c r="DH40" s="31">
        <v>0.95408734602463607</v>
      </c>
      <c r="DI40" s="31">
        <v>0.94406392694063923</v>
      </c>
      <c r="DJ40" s="31">
        <v>0.94266055045871555</v>
      </c>
      <c r="DK40" s="31">
        <v>0.9538288288288288</v>
      </c>
      <c r="DL40" s="31">
        <v>0.97539149888143173</v>
      </c>
      <c r="DM40" s="31">
        <v>0.96201117318435758</v>
      </c>
      <c r="DN40" s="31">
        <v>0.95293172450316965</v>
      </c>
      <c r="DO40" s="31">
        <v>0.94731064763995609</v>
      </c>
      <c r="DP40" s="31">
        <v>0.95490417136414885</v>
      </c>
      <c r="DQ40" s="31">
        <v>0.93537787513691129</v>
      </c>
      <c r="DR40" s="31">
        <v>0.94535519125683065</v>
      </c>
      <c r="DS40" s="31">
        <v>0.95394736842105265</v>
      </c>
      <c r="DT40" s="31">
        <v>0.95978260869565213</v>
      </c>
      <c r="DU40" s="31">
        <v>0.95792880258899671</v>
      </c>
      <c r="DV40" s="31">
        <v>0.95065809501479259</v>
      </c>
      <c r="DW40" s="31">
        <v>0.96544035674470452</v>
      </c>
      <c r="DX40" s="31">
        <v>0.95253505933117588</v>
      </c>
      <c r="DY40" s="31">
        <v>0.9542410714285714</v>
      </c>
      <c r="DZ40" s="31">
        <v>0.94543429844097993</v>
      </c>
      <c r="EA40" s="31">
        <v>0.96061269146608319</v>
      </c>
      <c r="EB40" s="31">
        <v>0.95309168443496806</v>
      </c>
      <c r="EC40" s="31">
        <v>0.94264069264069261</v>
      </c>
      <c r="ED40" s="31">
        <v>0.9534279792124537</v>
      </c>
      <c r="EE40" s="31">
        <v>0.94176931690929455</v>
      </c>
      <c r="EF40" s="31">
        <v>0.95690607734806632</v>
      </c>
      <c r="EG40" s="31">
        <v>0.93559322033898307</v>
      </c>
      <c r="EH40" s="31">
        <v>0.93834080717488788</v>
      </c>
      <c r="EI40" s="31">
        <v>0.9386160714285714</v>
      </c>
      <c r="EJ40" s="31">
        <v>0.9664053751399776</v>
      </c>
      <c r="EK40" s="31">
        <v>0.95221843003412965</v>
      </c>
      <c r="EL40" s="31">
        <v>0.9471213283391301</v>
      </c>
    </row>
    <row r="41" spans="2:142" x14ac:dyDescent="0.35">
      <c r="AL41" s="19" t="s">
        <v>94</v>
      </c>
      <c r="AM41" s="31">
        <v>0.96779964221824688</v>
      </c>
      <c r="AN41" s="31">
        <v>0.95061728395061729</v>
      </c>
      <c r="AO41" s="31">
        <v>0.96931407942238268</v>
      </c>
      <c r="AP41" s="31">
        <v>0.96202531645569622</v>
      </c>
      <c r="AQ41" s="31">
        <v>0.96779964221824688</v>
      </c>
      <c r="AR41" s="31">
        <v>0.97316636851520577</v>
      </c>
      <c r="AS41" s="31">
        <v>0.97282608695652173</v>
      </c>
      <c r="AT41" s="31">
        <v>0.96622120281955959</v>
      </c>
      <c r="AU41" s="31">
        <v>0.97913043478260875</v>
      </c>
      <c r="AV41" s="31">
        <v>0.9622980251346499</v>
      </c>
      <c r="AW41" s="31">
        <v>0.968476357267951</v>
      </c>
      <c r="AX41" s="31">
        <v>0.96050269299820468</v>
      </c>
      <c r="AY41" s="31">
        <v>0.97504456327985745</v>
      </c>
      <c r="AZ41" s="31">
        <v>0.96043165467625902</v>
      </c>
      <c r="BA41" s="31">
        <v>0.97857142857142854</v>
      </c>
      <c r="BB41" s="31">
        <v>0.96920787953013698</v>
      </c>
      <c r="BC41" s="31">
        <v>0.95</v>
      </c>
      <c r="BD41" s="31">
        <v>0.95598591549295775</v>
      </c>
      <c r="BE41" s="31">
        <v>0.96441947565543074</v>
      </c>
      <c r="BF41" s="31">
        <v>0.9587242026266416</v>
      </c>
      <c r="BG41" s="31">
        <v>0.96309314586994732</v>
      </c>
      <c r="BH41" s="31">
        <v>0.95796847635726801</v>
      </c>
      <c r="BI41" s="31">
        <v>0.95304347826086955</v>
      </c>
      <c r="BJ41" s="31">
        <v>0.95760495632330211</v>
      </c>
      <c r="BK41" s="31">
        <v>0.91064638783269958</v>
      </c>
      <c r="BL41" s="31">
        <v>0.93394495412844036</v>
      </c>
      <c r="BM41" s="31">
        <v>0.783203125</v>
      </c>
      <c r="BN41" s="31">
        <v>0.82751937984496127</v>
      </c>
      <c r="BO41" s="31">
        <v>0.94765342960288812</v>
      </c>
      <c r="BP41" s="31">
        <v>0.95825771324863884</v>
      </c>
      <c r="BQ41" s="31">
        <v>0.9547920433996383</v>
      </c>
      <c r="BR41" s="31">
        <v>0.90228814757960951</v>
      </c>
      <c r="BS41" s="31">
        <v>0.93582887700534756</v>
      </c>
      <c r="BT41" s="31">
        <v>0.87668593448940269</v>
      </c>
      <c r="BU41" s="31">
        <v>0.8972868217054264</v>
      </c>
      <c r="BV41" s="31">
        <v>0.94962686567164178</v>
      </c>
      <c r="BW41" s="31">
        <v>0.94213381555153708</v>
      </c>
      <c r="BX41" s="31">
        <v>0.91836734693877553</v>
      </c>
      <c r="BY41" s="31">
        <v>0.93956043956043955</v>
      </c>
      <c r="BZ41" s="31">
        <v>0.9227843001317958</v>
      </c>
      <c r="CA41" s="31">
        <v>0.94688644688644685</v>
      </c>
      <c r="CB41" s="31">
        <v>0.9576427255985267</v>
      </c>
      <c r="CC41" s="31">
        <v>0.94951456310679616</v>
      </c>
      <c r="CD41" s="31">
        <v>0.94921875</v>
      </c>
      <c r="CE41" s="31">
        <v>0.956989247311828</v>
      </c>
      <c r="CF41" s="31">
        <v>0.95752212389380531</v>
      </c>
      <c r="CG41" s="31">
        <v>0.96875</v>
      </c>
      <c r="CH41" s="31">
        <v>0.95521769382820043</v>
      </c>
      <c r="CI41" s="31">
        <v>0.95890410958904104</v>
      </c>
      <c r="CJ41" s="31">
        <v>0.96015180265654654</v>
      </c>
      <c r="CK41" s="31">
        <v>0.96666666666666667</v>
      </c>
      <c r="CL41" s="31">
        <v>0.97041420118343191</v>
      </c>
      <c r="CM41" s="31">
        <v>0.97358490566037736</v>
      </c>
      <c r="CN41" s="31">
        <v>0.98518518518518516</v>
      </c>
      <c r="CO41" s="31">
        <v>0.97148288973384034</v>
      </c>
      <c r="CP41" s="31">
        <v>0.96948425152501272</v>
      </c>
      <c r="CQ41" s="31">
        <v>0.97718631178707227</v>
      </c>
      <c r="CR41" s="31">
        <v>0.96963946869070206</v>
      </c>
      <c r="CS41" s="31">
        <v>0.94454713493530496</v>
      </c>
      <c r="CT41" s="31">
        <v>0.98487712665406424</v>
      </c>
      <c r="CU41" s="31">
        <v>0.95825426944971537</v>
      </c>
      <c r="CV41" s="31">
        <v>0.97597042513863219</v>
      </c>
      <c r="CW41" s="31">
        <v>0.95238095238095233</v>
      </c>
      <c r="CX41" s="31">
        <v>0.96612224129092039</v>
      </c>
      <c r="CY41" s="31">
        <v>0.94290976058931864</v>
      </c>
      <c r="CZ41" s="31">
        <v>0.94881170018281535</v>
      </c>
      <c r="DA41" s="31">
        <v>0.97115384615384615</v>
      </c>
      <c r="DB41" s="31">
        <v>0.97142857142857142</v>
      </c>
      <c r="DC41" s="31">
        <v>0.9606741573033708</v>
      </c>
      <c r="DD41" s="31">
        <v>0.96146788990825693</v>
      </c>
      <c r="DE41" s="31">
        <v>0.97026022304832715</v>
      </c>
      <c r="DF41" s="31">
        <v>0.96095802123064389</v>
      </c>
      <c r="DG41" s="31">
        <v>0.98464491362763917</v>
      </c>
      <c r="DH41" s="31">
        <v>0.97169811320754718</v>
      </c>
      <c r="DI41" s="31">
        <v>0.97904761904761906</v>
      </c>
      <c r="DJ41" s="31">
        <v>0.97665369649805445</v>
      </c>
      <c r="DK41" s="31">
        <v>0.96992481203007519</v>
      </c>
      <c r="DL41" s="31">
        <v>0.97227356746765248</v>
      </c>
      <c r="DM41" s="31">
        <v>0.97463768115942029</v>
      </c>
      <c r="DN41" s="31">
        <v>0.97555434329114388</v>
      </c>
      <c r="DO41" s="31">
        <v>0.95620437956204385</v>
      </c>
      <c r="DP41" s="31">
        <v>0.96685082872928174</v>
      </c>
      <c r="DQ41" s="31">
        <v>0.956989247311828</v>
      </c>
      <c r="DR41" s="31">
        <v>0.9595588235294118</v>
      </c>
      <c r="DS41" s="31">
        <v>0.94899817850637525</v>
      </c>
      <c r="DT41" s="31">
        <v>0.97416974169741699</v>
      </c>
      <c r="DU41" s="31">
        <v>0.98339483394833949</v>
      </c>
      <c r="DV41" s="31">
        <v>0.96373800475495675</v>
      </c>
      <c r="DW41" s="31">
        <v>0.96750902527075811</v>
      </c>
      <c r="DX41" s="31">
        <v>0.96007259528130673</v>
      </c>
      <c r="DY41" s="31">
        <v>0.9780621572212066</v>
      </c>
      <c r="DZ41" s="31">
        <v>0.96678966789667897</v>
      </c>
      <c r="EA41" s="31">
        <v>0.98242530755711777</v>
      </c>
      <c r="EB41" s="31">
        <v>0.97833935018050544</v>
      </c>
      <c r="EC41" s="31">
        <v>0.98230088495575218</v>
      </c>
      <c r="ED41" s="31">
        <v>0.97364271262333213</v>
      </c>
      <c r="EE41" s="31">
        <v>0.96021699819168171</v>
      </c>
      <c r="EF41" s="31">
        <v>0.97122302158273377</v>
      </c>
      <c r="EG41" s="31">
        <v>0.97262773722627738</v>
      </c>
      <c r="EH41" s="31">
        <v>0.97080291970802923</v>
      </c>
      <c r="EI41" s="31">
        <v>0.95454545454545459</v>
      </c>
      <c r="EJ41" s="31">
        <v>0.96057347670250892</v>
      </c>
      <c r="EK41" s="31">
        <v>0.95863309352517989</v>
      </c>
      <c r="EL41" s="31">
        <v>0.96408895735455225</v>
      </c>
    </row>
    <row r="42" spans="2:142" x14ac:dyDescent="0.35">
      <c r="AL42" s="19" t="s">
        <v>95</v>
      </c>
      <c r="AM42" s="31">
        <v>0.91909385113268605</v>
      </c>
      <c r="AN42" s="31">
        <v>0.83940042826552463</v>
      </c>
      <c r="AO42" s="31">
        <v>0.88120950323974079</v>
      </c>
      <c r="AP42" s="31">
        <v>0.86393088552915764</v>
      </c>
      <c r="AQ42" s="31">
        <v>0.88172043010752688</v>
      </c>
      <c r="AR42" s="31">
        <v>0.88675213675213671</v>
      </c>
      <c r="AS42" s="31">
        <v>0.89569892473118284</v>
      </c>
      <c r="AT42" s="31">
        <v>0.88111516567970793</v>
      </c>
      <c r="AU42" s="31">
        <v>0.91075268817204302</v>
      </c>
      <c r="AV42" s="31">
        <v>0.87553648068669532</v>
      </c>
      <c r="AW42" s="31">
        <v>0.91397849462365588</v>
      </c>
      <c r="AX42" s="31">
        <v>0.84532760472610091</v>
      </c>
      <c r="AY42" s="31">
        <v>0.9204301075268817</v>
      </c>
      <c r="AZ42" s="31">
        <v>0.90118152524167561</v>
      </c>
      <c r="BA42" s="31">
        <v>0.93796791443850269</v>
      </c>
      <c r="BB42" s="31">
        <v>0.90073925934507937</v>
      </c>
      <c r="BC42" s="31">
        <v>0.89366272824919446</v>
      </c>
      <c r="BD42" s="31">
        <v>0.86036519871106343</v>
      </c>
      <c r="BE42" s="31">
        <v>0.85540838852097134</v>
      </c>
      <c r="BF42" s="31">
        <v>0.8218714768883878</v>
      </c>
      <c r="BG42" s="31">
        <v>0.91630901287553645</v>
      </c>
      <c r="BH42" s="31">
        <v>0.90648246546227418</v>
      </c>
      <c r="BI42" s="31">
        <v>0.92034445640473628</v>
      </c>
      <c r="BJ42" s="31">
        <v>0.88206338958745201</v>
      </c>
      <c r="BK42" s="31">
        <v>0.80296127562642372</v>
      </c>
      <c r="BL42" s="31">
        <v>0.88448471121177807</v>
      </c>
      <c r="BM42" s="31">
        <v>0.72779043280182232</v>
      </c>
      <c r="BN42" s="31">
        <v>0.70047169811320753</v>
      </c>
      <c r="BO42" s="31">
        <v>0.79977246871444818</v>
      </c>
      <c r="BP42" s="31">
        <v>0.90011223344556679</v>
      </c>
      <c r="BQ42" s="31">
        <v>0.85907553551296501</v>
      </c>
      <c r="BR42" s="31">
        <v>0.8106669079180302</v>
      </c>
      <c r="BS42" s="31">
        <v>0.80714285714285716</v>
      </c>
      <c r="BT42" s="31">
        <v>0.6985815602836879</v>
      </c>
      <c r="BU42" s="31">
        <v>0.73741007194244601</v>
      </c>
      <c r="BV42" s="31">
        <v>0.72928821470245042</v>
      </c>
      <c r="BW42" s="31">
        <v>0.82976190476190481</v>
      </c>
      <c r="BX42" s="31">
        <v>0.77171215880893296</v>
      </c>
      <c r="BY42" s="31">
        <v>0.80243902439024395</v>
      </c>
      <c r="BZ42" s="31">
        <v>0.76804797029036032</v>
      </c>
      <c r="CA42" s="31">
        <v>0.80270574971815112</v>
      </c>
      <c r="CB42" s="31">
        <v>0.7332549941245593</v>
      </c>
      <c r="CC42" s="31">
        <v>0.82863585118376548</v>
      </c>
      <c r="CD42" s="31">
        <v>0.75311438278595699</v>
      </c>
      <c r="CE42" s="31">
        <v>0.84139482564679413</v>
      </c>
      <c r="CF42" s="31">
        <v>0.7965714285714286</v>
      </c>
      <c r="CG42" s="31">
        <v>0.82265446224256289</v>
      </c>
      <c r="CH42" s="31">
        <v>0.79690452775331688</v>
      </c>
      <c r="CI42" s="31">
        <v>0.84496124031007747</v>
      </c>
      <c r="CJ42" s="31">
        <v>0.8560179977502812</v>
      </c>
      <c r="CK42" s="31">
        <v>0.8294314381270903</v>
      </c>
      <c r="CL42" s="31">
        <v>0.76800000000000002</v>
      </c>
      <c r="CM42" s="31">
        <v>0.86922209695603159</v>
      </c>
      <c r="CN42" s="31">
        <v>0.8215077605321508</v>
      </c>
      <c r="CO42" s="31">
        <v>0.83016759776536309</v>
      </c>
      <c r="CP42" s="31">
        <v>0.83132973306299918</v>
      </c>
      <c r="CQ42" s="31">
        <v>0.8608893956670467</v>
      </c>
      <c r="CR42" s="31">
        <v>0.82672706681766706</v>
      </c>
      <c r="CS42" s="31">
        <v>0.81777777777777783</v>
      </c>
      <c r="CT42" s="31">
        <v>0.84204545454545454</v>
      </c>
      <c r="CU42" s="31">
        <v>0.87878787878787878</v>
      </c>
      <c r="CV42" s="31">
        <v>0.84811529933481156</v>
      </c>
      <c r="CW42" s="31">
        <v>0.85982339955849885</v>
      </c>
      <c r="CX42" s="31">
        <v>0.84773803892701927</v>
      </c>
      <c r="CY42" s="31">
        <v>0.84563758389261745</v>
      </c>
      <c r="CZ42" s="31">
        <v>0.8782412626832018</v>
      </c>
      <c r="DA42" s="31">
        <v>0.83204419889502768</v>
      </c>
      <c r="DB42" s="31">
        <v>0.75816993464052285</v>
      </c>
      <c r="DC42" s="31">
        <v>0.88143176733780759</v>
      </c>
      <c r="DD42" s="31">
        <v>0.86265607264472188</v>
      </c>
      <c r="DE42" s="31">
        <v>0.87514188422247441</v>
      </c>
      <c r="DF42" s="31">
        <v>0.84761752918805322</v>
      </c>
      <c r="DG42" s="31">
        <v>0.88436830835117775</v>
      </c>
      <c r="DH42" s="31">
        <v>0.81837837837837835</v>
      </c>
      <c r="DI42" s="31">
        <v>0.85329018338727081</v>
      </c>
      <c r="DJ42" s="31">
        <v>0.82004310344827591</v>
      </c>
      <c r="DK42" s="31">
        <v>0.8963675213675214</v>
      </c>
      <c r="DL42" s="31">
        <v>0.86853448275862066</v>
      </c>
      <c r="DM42" s="31">
        <v>0.8571428571428571</v>
      </c>
      <c r="DN42" s="31">
        <v>0.85687497640487176</v>
      </c>
      <c r="DO42" s="31">
        <v>0.88490770901194349</v>
      </c>
      <c r="DP42" s="31">
        <v>0.86442516268980474</v>
      </c>
      <c r="DQ42" s="31">
        <v>0.87055016181229772</v>
      </c>
      <c r="DR42" s="31">
        <v>0.8466522678185745</v>
      </c>
      <c r="DS42" s="31">
        <v>0.90305010893246185</v>
      </c>
      <c r="DT42" s="31">
        <v>0.87852494577006512</v>
      </c>
      <c r="DU42" s="31">
        <v>0.89542483660130723</v>
      </c>
      <c r="DV42" s="31">
        <v>0.87764788466235066</v>
      </c>
      <c r="DW42" s="31">
        <v>0.8773274917853231</v>
      </c>
      <c r="DX42" s="31">
        <v>0.83512931034482762</v>
      </c>
      <c r="DY42" s="31">
        <v>0.87075575027382257</v>
      </c>
      <c r="DZ42" s="31">
        <v>0.85761226725082151</v>
      </c>
      <c r="EA42" s="31">
        <v>0.91128148959474264</v>
      </c>
      <c r="EB42" s="31">
        <v>0.88675213675213671</v>
      </c>
      <c r="EC42" s="31">
        <v>0.89232409381663114</v>
      </c>
      <c r="ED42" s="31">
        <v>0.8758832199740435</v>
      </c>
      <c r="EE42" s="31">
        <v>0.89945945945945949</v>
      </c>
      <c r="EF42" s="31">
        <v>0.857449088960343</v>
      </c>
      <c r="EG42" s="31">
        <v>0.85058697972251862</v>
      </c>
      <c r="EH42" s="31">
        <v>0.83119658119658124</v>
      </c>
      <c r="EI42" s="31">
        <v>0.90830636461704428</v>
      </c>
      <c r="EJ42" s="31">
        <v>0.86466165413533835</v>
      </c>
      <c r="EK42" s="31">
        <v>0.89416846652267823</v>
      </c>
      <c r="EL42" s="31">
        <v>0.87226122780199489</v>
      </c>
    </row>
    <row r="43" spans="2:142" x14ac:dyDescent="0.35">
      <c r="AL43" s="19" t="s">
        <v>96</v>
      </c>
      <c r="AM43" s="31">
        <v>0.93107932379713909</v>
      </c>
      <c r="AN43" s="31">
        <v>0.9177377892030848</v>
      </c>
      <c r="AO43" s="31">
        <v>0.92108667529107369</v>
      </c>
      <c r="AP43" s="31">
        <v>0.91014120667522469</v>
      </c>
      <c r="AQ43" s="31">
        <v>0.92682926829268297</v>
      </c>
      <c r="AR43" s="31">
        <v>0.91919191919191923</v>
      </c>
      <c r="AS43" s="31">
        <v>0.92179487179487174</v>
      </c>
      <c r="AT43" s="31">
        <v>0.92112300774942812</v>
      </c>
      <c r="AU43" s="31">
        <v>0.94073139974779318</v>
      </c>
      <c r="AV43" s="31">
        <v>0.93427835051546393</v>
      </c>
      <c r="AW43" s="31">
        <v>0.91801242236024849</v>
      </c>
      <c r="AX43" s="31">
        <v>0.91108247422680411</v>
      </c>
      <c r="AY43" s="31">
        <v>0.9267676767676768</v>
      </c>
      <c r="AZ43" s="31">
        <v>0.92035398230088494</v>
      </c>
      <c r="BA43" s="31">
        <v>0.91740787801778911</v>
      </c>
      <c r="BB43" s="31">
        <v>0.92409059770523716</v>
      </c>
      <c r="BC43" s="31">
        <v>0.89054726368159209</v>
      </c>
      <c r="BD43" s="31">
        <v>0.95963541666666663</v>
      </c>
      <c r="BE43" s="31">
        <v>0.86277001270648035</v>
      </c>
      <c r="BF43" s="31">
        <v>0.84311224489795922</v>
      </c>
      <c r="BG43" s="31">
        <v>0.90213299874529485</v>
      </c>
      <c r="BH43" s="31">
        <v>0.93374999999999997</v>
      </c>
      <c r="BI43" s="31">
        <v>0.90660024906600245</v>
      </c>
      <c r="BJ43" s="31">
        <v>0.89979259796628508</v>
      </c>
      <c r="BK43" s="31">
        <v>0.79974489795918369</v>
      </c>
      <c r="BL43" s="31">
        <v>0.87989886219974711</v>
      </c>
      <c r="BM43" s="31">
        <v>0.642023346303502</v>
      </c>
      <c r="BN43" s="31">
        <v>0.67317708333333337</v>
      </c>
      <c r="BO43" s="31">
        <v>0.8350253807106599</v>
      </c>
      <c r="BP43" s="31">
        <v>0.87747524752475248</v>
      </c>
      <c r="BQ43" s="31">
        <v>0.87692307692307692</v>
      </c>
      <c r="BR43" s="31">
        <v>0.79775255642203657</v>
      </c>
      <c r="BS43" s="31">
        <v>0.85328185328185324</v>
      </c>
      <c r="BT43" s="31">
        <v>0.73521850899742935</v>
      </c>
      <c r="BU43" s="31">
        <v>0.84155844155844151</v>
      </c>
      <c r="BV43" s="31">
        <v>0.85321100917431192</v>
      </c>
      <c r="BW43" s="31">
        <v>0.84143222506393867</v>
      </c>
      <c r="BX43" s="31">
        <v>0.77021822849807442</v>
      </c>
      <c r="BY43" s="31">
        <v>0.83183568677792041</v>
      </c>
      <c r="BZ43" s="31">
        <v>0.81810799333599571</v>
      </c>
      <c r="CA43" s="31">
        <v>0.91368680641183719</v>
      </c>
      <c r="CB43" s="31">
        <v>0.87372448979591832</v>
      </c>
      <c r="CC43" s="31">
        <v>0.80600750938673338</v>
      </c>
      <c r="CD43" s="31">
        <v>0.84323640960809099</v>
      </c>
      <c r="CE43" s="31">
        <v>0.91180124223602488</v>
      </c>
      <c r="CF43" s="31">
        <v>0.89058524173027986</v>
      </c>
      <c r="CG43" s="31">
        <v>0.92229299363057327</v>
      </c>
      <c r="CH43" s="31">
        <v>0.88019067039992238</v>
      </c>
      <c r="CI43" s="31">
        <v>0.84223602484472049</v>
      </c>
      <c r="CJ43" s="31">
        <v>0.8810408921933085</v>
      </c>
      <c r="CK43" s="31">
        <v>0.83753148614609574</v>
      </c>
      <c r="CL43" s="31">
        <v>0.85498108448928123</v>
      </c>
      <c r="CM43" s="31">
        <v>0.88471177944862156</v>
      </c>
      <c r="CN43" s="31">
        <v>0.88345864661654139</v>
      </c>
      <c r="CO43" s="31">
        <v>0.87623762376237624</v>
      </c>
      <c r="CP43" s="31">
        <v>0.86574250535727781</v>
      </c>
      <c r="CQ43" s="31">
        <v>0.87671232876712324</v>
      </c>
      <c r="CR43" s="31">
        <v>0.88610763454317898</v>
      </c>
      <c r="CS43" s="31">
        <v>0.85660847880299251</v>
      </c>
      <c r="CT43" s="31">
        <v>0.83899371069182394</v>
      </c>
      <c r="CU43" s="31">
        <v>0.84444444444444444</v>
      </c>
      <c r="CV43" s="31">
        <v>0.87283950617283945</v>
      </c>
      <c r="CW43" s="31">
        <v>0.85098522167487689</v>
      </c>
      <c r="CX43" s="31">
        <v>0.8609559035853257</v>
      </c>
      <c r="CY43" s="31">
        <v>0.87439024390243902</v>
      </c>
      <c r="CZ43" s="31">
        <v>0.90549169859514689</v>
      </c>
      <c r="DA43" s="31">
        <v>0.8612143742255266</v>
      </c>
      <c r="DB43" s="31">
        <v>0.87121212121212122</v>
      </c>
      <c r="DC43" s="31">
        <v>0.88793103448275867</v>
      </c>
      <c r="DD43" s="31">
        <v>0.90382244143033297</v>
      </c>
      <c r="DE43" s="31">
        <v>0.89603960396039606</v>
      </c>
      <c r="DF43" s="31">
        <v>0.88572878825838874</v>
      </c>
      <c r="DG43" s="31">
        <v>0.92376111817026685</v>
      </c>
      <c r="DH43" s="31">
        <v>0.91730279898218825</v>
      </c>
      <c r="DI43" s="31">
        <v>0.89724310776942351</v>
      </c>
      <c r="DJ43" s="31">
        <v>0.85625774473358118</v>
      </c>
      <c r="DK43" s="31">
        <v>0.88550548112058469</v>
      </c>
      <c r="DL43" s="31">
        <v>0.91113892365456817</v>
      </c>
      <c r="DM43" s="31">
        <v>0.88592233009708743</v>
      </c>
      <c r="DN43" s="31">
        <v>0.89673307207538566</v>
      </c>
      <c r="DO43" s="31">
        <v>0.90135635018495686</v>
      </c>
      <c r="DP43" s="31">
        <v>0.85626535626535627</v>
      </c>
      <c r="DQ43" s="31">
        <v>0.89557739557739557</v>
      </c>
      <c r="DR43" s="31">
        <v>0.88301886792452833</v>
      </c>
      <c r="DS43" s="31">
        <v>0.9154411764705882</v>
      </c>
      <c r="DT43" s="31">
        <v>0.90318627450980393</v>
      </c>
      <c r="DU43" s="31">
        <v>0.9125151883353585</v>
      </c>
      <c r="DV43" s="31">
        <v>0.89533722989542686</v>
      </c>
      <c r="DW43" s="31">
        <v>0.88834951456310685</v>
      </c>
      <c r="DX43" s="31">
        <v>0.91389913899138986</v>
      </c>
      <c r="DY43" s="31">
        <v>0.88902743142144636</v>
      </c>
      <c r="DZ43" s="31">
        <v>0.90100250626566414</v>
      </c>
      <c r="EA43" s="31">
        <v>0.89830508474576276</v>
      </c>
      <c r="EB43" s="31">
        <v>0.93614457831325304</v>
      </c>
      <c r="EC43" s="31">
        <v>0.91888619854721554</v>
      </c>
      <c r="ED43" s="31">
        <v>0.90651635040683409</v>
      </c>
      <c r="EE43" s="31">
        <v>0.93333333333333335</v>
      </c>
      <c r="EF43" s="31">
        <v>0.92625000000000002</v>
      </c>
      <c r="EG43" s="31">
        <v>0.89205955334987597</v>
      </c>
      <c r="EH43" s="31">
        <v>0.89141414141414144</v>
      </c>
      <c r="EI43" s="31">
        <v>0.94095940959409596</v>
      </c>
      <c r="EJ43" s="31">
        <v>0.9466501240694789</v>
      </c>
      <c r="EK43" s="31">
        <v>0.93958076448828609</v>
      </c>
      <c r="EL43" s="31">
        <v>0.92432104660703029</v>
      </c>
    </row>
    <row r="44" spans="2:142" x14ac:dyDescent="0.35">
      <c r="AL44" s="19" t="s">
        <v>97</v>
      </c>
      <c r="AM44" s="31">
        <v>0.96381578947368418</v>
      </c>
      <c r="AN44" s="31">
        <v>0.96677740863787376</v>
      </c>
      <c r="AO44" s="31">
        <v>0.97368421052631582</v>
      </c>
      <c r="AP44" s="31">
        <v>0.97368421052631582</v>
      </c>
      <c r="AQ44" s="31">
        <v>0.97712418300653592</v>
      </c>
      <c r="AR44" s="31">
        <v>0.97333333333333338</v>
      </c>
      <c r="AS44" s="31">
        <v>0.99342105263157898</v>
      </c>
      <c r="AT44" s="31">
        <v>0.97454859830509122</v>
      </c>
      <c r="AU44" s="31">
        <v>0.99013157894736847</v>
      </c>
      <c r="AV44" s="31">
        <v>0.96078431372549022</v>
      </c>
      <c r="AW44" s="31">
        <v>0.9836601307189542</v>
      </c>
      <c r="AX44" s="31">
        <v>0.95081967213114749</v>
      </c>
      <c r="AY44" s="31">
        <v>0.96677740863787376</v>
      </c>
      <c r="AZ44" s="31">
        <v>0.94444444444444442</v>
      </c>
      <c r="BA44" s="31">
        <v>0.96065573770491808</v>
      </c>
      <c r="BB44" s="31">
        <v>0.96532475518717098</v>
      </c>
      <c r="BC44" s="31">
        <v>0.98281786941580751</v>
      </c>
      <c r="BD44" s="31">
        <v>0.95424836601307195</v>
      </c>
      <c r="BE44" s="31">
        <v>0.93031358885017423</v>
      </c>
      <c r="BF44" s="31">
        <v>0.90689655172413797</v>
      </c>
      <c r="BG44" s="31">
        <v>0.99331103678929766</v>
      </c>
      <c r="BH44" s="31">
        <v>0.9836601307189542</v>
      </c>
      <c r="BI44" s="31">
        <v>0.98697068403908794</v>
      </c>
      <c r="BJ44" s="31">
        <v>0.96260260393579011</v>
      </c>
      <c r="BK44" s="31">
        <v>0.90845070422535212</v>
      </c>
      <c r="BL44" s="31">
        <v>0.89795918367346939</v>
      </c>
      <c r="BM44" s="31">
        <v>0.85663082437275984</v>
      </c>
      <c r="BN44" s="31">
        <v>0.82935153583617749</v>
      </c>
      <c r="BO44" s="31">
        <v>0.96085409252669041</v>
      </c>
      <c r="BP44" s="31">
        <v>0.93174061433447097</v>
      </c>
      <c r="BQ44" s="31">
        <v>0.96959459459459463</v>
      </c>
      <c r="BR44" s="31">
        <v>0.90779736422335922</v>
      </c>
      <c r="BS44" s="31">
        <v>0.94719471947194722</v>
      </c>
      <c r="BT44" s="31">
        <v>0.89399293286219084</v>
      </c>
      <c r="BU44" s="31">
        <v>0.91245791245791241</v>
      </c>
      <c r="BV44" s="31">
        <v>0.94736842105263153</v>
      </c>
      <c r="BW44" s="31">
        <v>0.96949152542372885</v>
      </c>
      <c r="BX44" s="31">
        <v>0.92041522491349481</v>
      </c>
      <c r="BY44" s="31">
        <v>0.96598639455782309</v>
      </c>
      <c r="BZ44" s="31">
        <v>0.9367010186771042</v>
      </c>
      <c r="CA44" s="31">
        <v>0.96116504854368934</v>
      </c>
      <c r="CB44" s="31">
        <v>0.91222570532915359</v>
      </c>
      <c r="CC44" s="31">
        <v>0.93485342019543971</v>
      </c>
      <c r="CD44" s="31">
        <v>0.93870967741935485</v>
      </c>
      <c r="CE44" s="31">
        <v>0.97419354838709682</v>
      </c>
      <c r="CF44" s="31">
        <v>0.93710691823899372</v>
      </c>
      <c r="CG44" s="31">
        <v>0.96551724137931039</v>
      </c>
      <c r="CH44" s="31">
        <v>0.9462530799275769</v>
      </c>
      <c r="CI44" s="31">
        <v>0.95859872611464969</v>
      </c>
      <c r="CJ44" s="31">
        <v>0.94321766561514198</v>
      </c>
      <c r="CK44" s="31">
        <v>0.93312101910828027</v>
      </c>
      <c r="CL44" s="31">
        <v>0.90506329113924056</v>
      </c>
      <c r="CM44" s="31">
        <v>0.97460317460317458</v>
      </c>
      <c r="CN44" s="31">
        <v>0.97452229299363058</v>
      </c>
      <c r="CO44" s="31">
        <v>0.95859872611464969</v>
      </c>
      <c r="CP44" s="31">
        <v>0.94967498509839543</v>
      </c>
      <c r="CQ44" s="31">
        <v>0.90522875816993464</v>
      </c>
      <c r="CR44" s="31">
        <v>0.92767295597484278</v>
      </c>
      <c r="CS44" s="31">
        <v>0.86984126984126986</v>
      </c>
      <c r="CT44" s="31">
        <v>0.91961414790996787</v>
      </c>
      <c r="CU44" s="31">
        <v>0.93290734824281152</v>
      </c>
      <c r="CV44" s="31">
        <v>0.94904458598726116</v>
      </c>
      <c r="CW44" s="31">
        <v>0.92993630573248409</v>
      </c>
      <c r="CX44" s="31">
        <v>0.91917791026551032</v>
      </c>
      <c r="CY44" s="31">
        <v>0.91776315789473684</v>
      </c>
      <c r="CZ44" s="31">
        <v>0.90445859872611467</v>
      </c>
      <c r="DA44" s="31">
        <v>0.89902280130293155</v>
      </c>
      <c r="DB44" s="31">
        <v>0.87419354838709673</v>
      </c>
      <c r="DC44" s="31">
        <v>0.96721311475409832</v>
      </c>
      <c r="DD44" s="31">
        <v>0.97115384615384615</v>
      </c>
      <c r="DE44" s="31">
        <v>0.92880258899676371</v>
      </c>
      <c r="DF44" s="31">
        <v>0.92322966517365546</v>
      </c>
      <c r="DG44" s="31">
        <v>0.97727272727272729</v>
      </c>
      <c r="DH44" s="31">
        <v>0.94805194805194803</v>
      </c>
      <c r="DI44" s="31">
        <v>0.91639871382636651</v>
      </c>
      <c r="DJ44" s="31">
        <v>0.90705128205128205</v>
      </c>
      <c r="DK44" s="31">
        <v>0.92592592592592593</v>
      </c>
      <c r="DL44" s="31">
        <v>0.93272171253822633</v>
      </c>
      <c r="DM44" s="31">
        <v>0.9538461538461539</v>
      </c>
      <c r="DN44" s="31">
        <v>0.93732406621608988</v>
      </c>
      <c r="DO44" s="31">
        <v>0.90645161290322585</v>
      </c>
      <c r="DP44" s="31">
        <v>0.93968253968253967</v>
      </c>
      <c r="DQ44" s="31">
        <v>0.93333333333333335</v>
      </c>
      <c r="DR44" s="31">
        <v>0.90415335463258784</v>
      </c>
      <c r="DS44" s="31">
        <v>0.94426229508196724</v>
      </c>
      <c r="DT44" s="31">
        <v>0.95541401273885351</v>
      </c>
      <c r="DU44" s="31">
        <v>0.94719471947194722</v>
      </c>
      <c r="DV44" s="31">
        <v>0.93292740969206489</v>
      </c>
      <c r="DW44" s="31">
        <v>0.97460317460317458</v>
      </c>
      <c r="DX44" s="31">
        <v>0.92923076923076919</v>
      </c>
      <c r="DY44" s="31">
        <v>0.94670846394984332</v>
      </c>
      <c r="DZ44" s="31">
        <v>0.91562500000000002</v>
      </c>
      <c r="EA44" s="31">
        <v>0.97839506172839508</v>
      </c>
      <c r="EB44" s="31">
        <v>0.94117647058823528</v>
      </c>
      <c r="EC44" s="31">
        <v>0.94321766561514198</v>
      </c>
      <c r="ED44" s="31">
        <v>0.94699380081650852</v>
      </c>
      <c r="EE44" s="31">
        <v>0.93059936908517349</v>
      </c>
      <c r="EF44" s="31">
        <v>0.88821752265861031</v>
      </c>
      <c r="EG44" s="31">
        <v>0.88253968253968251</v>
      </c>
      <c r="EH44" s="31">
        <v>0.88178913738019171</v>
      </c>
      <c r="EI44" s="31">
        <v>0.94968553459119498</v>
      </c>
      <c r="EJ44" s="31">
        <v>0.95061728395061729</v>
      </c>
      <c r="EK44" s="31">
        <v>0.93230769230769228</v>
      </c>
      <c r="EL44" s="31">
        <v>0.91653660321616626</v>
      </c>
    </row>
    <row r="45" spans="2:142" x14ac:dyDescent="0.35">
      <c r="AL45" s="19" t="s">
        <v>98</v>
      </c>
      <c r="AM45" s="31">
        <v>0.94360902255639101</v>
      </c>
      <c r="AN45" s="31">
        <v>0.85660377358490569</v>
      </c>
      <c r="AO45" s="31">
        <v>0.93680297397769519</v>
      </c>
      <c r="AP45" s="31">
        <v>0.93680297397769519</v>
      </c>
      <c r="AQ45" s="31">
        <v>0.92222222222222228</v>
      </c>
      <c r="AR45" s="31">
        <v>0.89473684210526316</v>
      </c>
      <c r="AS45" s="31">
        <v>0.90225563909774431</v>
      </c>
      <c r="AT45" s="31">
        <v>0.91329049250313088</v>
      </c>
      <c r="AU45" s="31">
        <v>0.91911764705882348</v>
      </c>
      <c r="AV45" s="31">
        <v>0.8666666666666667</v>
      </c>
      <c r="AW45" s="31">
        <v>0.94423791821561343</v>
      </c>
      <c r="AX45" s="31">
        <v>0.93609022556390975</v>
      </c>
      <c r="AY45" s="31">
        <v>0.92592592592592593</v>
      </c>
      <c r="AZ45" s="31">
        <v>0.92537313432835822</v>
      </c>
      <c r="BA45" s="31">
        <v>0.94505494505494503</v>
      </c>
      <c r="BB45" s="31">
        <v>0.92320949468774904</v>
      </c>
      <c r="BC45" s="31">
        <v>0.8978102189781022</v>
      </c>
      <c r="BD45" s="31">
        <v>0.93609022556390975</v>
      </c>
      <c r="BE45" s="31">
        <v>0.88727272727272732</v>
      </c>
      <c r="BF45" s="31">
        <v>0.88928571428571423</v>
      </c>
      <c r="BG45" s="31">
        <v>0.91575091575091572</v>
      </c>
      <c r="BH45" s="31">
        <v>0.96350364963503654</v>
      </c>
      <c r="BI45" s="31">
        <v>0.96</v>
      </c>
      <c r="BJ45" s="31">
        <v>0.92138763592662942</v>
      </c>
      <c r="BK45" s="31">
        <v>0.85551330798479086</v>
      </c>
      <c r="BL45" s="31">
        <v>0.91636363636363638</v>
      </c>
      <c r="BM45" s="31">
        <v>0.73333333333333328</v>
      </c>
      <c r="BN45" s="31">
        <v>0.78431372549019607</v>
      </c>
      <c r="BO45" s="31">
        <v>0.8970588235294118</v>
      </c>
      <c r="BP45" s="31">
        <v>0.96715328467153283</v>
      </c>
      <c r="BQ45" s="31">
        <v>0.86909090909090914</v>
      </c>
      <c r="BR45" s="31">
        <v>0.86040386006625869</v>
      </c>
      <c r="BS45" s="31">
        <v>0.95683453237410077</v>
      </c>
      <c r="BT45" s="31">
        <v>0.84313725490196079</v>
      </c>
      <c r="BU45" s="31">
        <v>0.91814946619217086</v>
      </c>
      <c r="BV45" s="31">
        <v>0.90714285714285714</v>
      </c>
      <c r="BW45" s="31">
        <v>0.87455197132616491</v>
      </c>
      <c r="BX45" s="31">
        <v>0.84</v>
      </c>
      <c r="BY45" s="31">
        <v>0.86690647482014394</v>
      </c>
      <c r="BZ45" s="31">
        <v>0.88667465096534259</v>
      </c>
      <c r="CA45" s="31">
        <v>0.94444444444444442</v>
      </c>
      <c r="CB45" s="31">
        <v>0.90974729241877261</v>
      </c>
      <c r="CC45" s="31">
        <v>0.9258160237388724</v>
      </c>
      <c r="CD45" s="31">
        <v>0.91818181818181821</v>
      </c>
      <c r="CE45" s="31">
        <v>0.91715976331360949</v>
      </c>
      <c r="CF45" s="31">
        <v>0.89589905362776023</v>
      </c>
      <c r="CG45" s="31">
        <v>0.83229813664596275</v>
      </c>
      <c r="CH45" s="31">
        <v>0.90622093319589148</v>
      </c>
      <c r="CI45" s="31">
        <v>0.90849673202614378</v>
      </c>
      <c r="CJ45" s="31">
        <v>0.9228486646884273</v>
      </c>
      <c r="CK45" s="31">
        <v>0.90553745928338758</v>
      </c>
      <c r="CL45" s="31">
        <v>0.87898089171974525</v>
      </c>
      <c r="CM45" s="31">
        <v>0.90390390390390385</v>
      </c>
      <c r="CN45" s="31">
        <v>0.9196428571428571</v>
      </c>
      <c r="CO45" s="31">
        <v>0.89759036144578308</v>
      </c>
      <c r="CP45" s="31">
        <v>0.90528583860146405</v>
      </c>
      <c r="CQ45" s="31">
        <v>0.88449848024316113</v>
      </c>
      <c r="CR45" s="31">
        <v>0.94568690095846641</v>
      </c>
      <c r="CS45" s="31">
        <v>0.84876543209876543</v>
      </c>
      <c r="CT45" s="31">
        <v>0.80844155844155841</v>
      </c>
      <c r="CU45" s="31">
        <v>0.85185185185185186</v>
      </c>
      <c r="CV45" s="31">
        <v>0.87125748502994016</v>
      </c>
      <c r="CW45" s="31">
        <v>0.82554517133956384</v>
      </c>
      <c r="CX45" s="31">
        <v>0.86229241142332946</v>
      </c>
      <c r="CY45" s="31">
        <v>0.87197231833910038</v>
      </c>
      <c r="CZ45" s="31">
        <v>0.79530201342281881</v>
      </c>
      <c r="DA45" s="31">
        <v>0.86496350364963503</v>
      </c>
      <c r="DB45" s="31">
        <v>0.87453874538745391</v>
      </c>
      <c r="DC45" s="31">
        <v>0.8523489932885906</v>
      </c>
      <c r="DD45" s="31">
        <v>0.84313725490196079</v>
      </c>
      <c r="DE45" s="31">
        <v>0.88198757763975155</v>
      </c>
      <c r="DF45" s="31">
        <v>0.85489291523275879</v>
      </c>
      <c r="DG45" s="31">
        <v>0.91958041958041958</v>
      </c>
      <c r="DH45" s="31">
        <v>0.93356643356643354</v>
      </c>
      <c r="DI45" s="31">
        <v>0.8291814946619217</v>
      </c>
      <c r="DJ45" s="31">
        <v>0.9</v>
      </c>
      <c r="DK45" s="31">
        <v>0.92832764505119458</v>
      </c>
      <c r="DL45" s="31">
        <v>0.95818815331010454</v>
      </c>
      <c r="DM45" s="31">
        <v>0.9754385964912281</v>
      </c>
      <c r="DN45" s="31">
        <v>0.92061182038018596</v>
      </c>
      <c r="DO45" s="31">
        <v>0.85559566787003605</v>
      </c>
      <c r="DP45" s="31">
        <v>0.9285714285714286</v>
      </c>
      <c r="DQ45" s="31">
        <v>0.84837545126353786</v>
      </c>
      <c r="DR45" s="31">
        <v>0.87912087912087911</v>
      </c>
      <c r="DS45" s="31">
        <v>0.89860139860139865</v>
      </c>
      <c r="DT45" s="31">
        <v>0.89655172413793105</v>
      </c>
      <c r="DU45" s="31">
        <v>0.90378006872852235</v>
      </c>
      <c r="DV45" s="31">
        <v>0.88722808832767619</v>
      </c>
      <c r="DW45" s="31">
        <v>0.82352941176470584</v>
      </c>
      <c r="DX45" s="31">
        <v>0.88148148148148153</v>
      </c>
      <c r="DY45" s="31">
        <v>0.80784313725490198</v>
      </c>
      <c r="DZ45" s="31">
        <v>0.85098039215686272</v>
      </c>
      <c r="EA45" s="31">
        <v>0.83703703703703702</v>
      </c>
      <c r="EB45" s="31">
        <v>0.85925925925925928</v>
      </c>
      <c r="EC45" s="31">
        <v>0.84905660377358494</v>
      </c>
      <c r="ED45" s="31">
        <v>0.8441696175325476</v>
      </c>
      <c r="EE45" s="31">
        <v>0.83137254901960789</v>
      </c>
      <c r="EF45" s="31">
        <v>0.85098039215686272</v>
      </c>
      <c r="EG45" s="31">
        <v>0.83529411764705885</v>
      </c>
      <c r="EH45" s="31">
        <v>0.83529411764705885</v>
      </c>
      <c r="EI45" s="31">
        <v>0.89803921568627454</v>
      </c>
      <c r="EJ45" s="31">
        <v>0.84313725490196079</v>
      </c>
      <c r="EK45" s="31">
        <v>0.89411764705882357</v>
      </c>
      <c r="EL45" s="31">
        <v>0.85546218487394943</v>
      </c>
    </row>
    <row r="46" spans="2:142" x14ac:dyDescent="0.35">
      <c r="AL46" s="19" t="s">
        <v>255</v>
      </c>
      <c r="AM46" s="31">
        <v>0.94165813715455471</v>
      </c>
      <c r="AN46" s="31">
        <v>0.90358974358974364</v>
      </c>
      <c r="AO46" s="31">
        <v>0.90758047767393557</v>
      </c>
      <c r="AP46" s="31">
        <v>0.91222570532915359</v>
      </c>
      <c r="AQ46" s="31">
        <v>0.93456032719836402</v>
      </c>
      <c r="AR46" s="31">
        <v>0.92820512820512824</v>
      </c>
      <c r="AS46" s="31">
        <v>0.93967280163599187</v>
      </c>
      <c r="AT46" s="31">
        <v>0.9239274743981245</v>
      </c>
      <c r="AU46" s="31">
        <v>0.90833333333333333</v>
      </c>
      <c r="AV46" s="31">
        <v>0.91313340227507755</v>
      </c>
      <c r="AW46" s="31">
        <v>0.90506329113924056</v>
      </c>
      <c r="AX46" s="31">
        <v>0.87645195353748684</v>
      </c>
      <c r="AY46" s="31">
        <v>0.94240837696335078</v>
      </c>
      <c r="AZ46" s="31">
        <v>0.9203722854188211</v>
      </c>
      <c r="BA46" s="31">
        <v>0.93117831074035451</v>
      </c>
      <c r="BB46" s="31">
        <v>0.91384870762966641</v>
      </c>
      <c r="BC46" s="31">
        <v>0.92008196721311475</v>
      </c>
      <c r="BD46" s="31">
        <v>0.90282131661442011</v>
      </c>
      <c r="BE46" s="31">
        <v>0.9045643153526971</v>
      </c>
      <c r="BF46" s="31">
        <v>0.8796680497925311</v>
      </c>
      <c r="BG46" s="31">
        <v>0.91402251791197542</v>
      </c>
      <c r="BH46" s="31">
        <v>0.93711340206185567</v>
      </c>
      <c r="BI46" s="31">
        <v>0.93608247422680413</v>
      </c>
      <c r="BJ46" s="31">
        <v>0.91347914902477123</v>
      </c>
      <c r="BK46" s="31">
        <v>0.80368098159509205</v>
      </c>
      <c r="BL46" s="31">
        <v>0.86898669396110539</v>
      </c>
      <c r="BM46" s="31">
        <v>0.70041322314049592</v>
      </c>
      <c r="BN46" s="31">
        <v>0.75</v>
      </c>
      <c r="BO46" s="31">
        <v>0.86503067484662577</v>
      </c>
      <c r="BP46" s="31">
        <v>0.87282051282051287</v>
      </c>
      <c r="BQ46" s="31">
        <v>0.86769230769230765</v>
      </c>
      <c r="BR46" s="31">
        <v>0.81837491343659141</v>
      </c>
      <c r="BS46" s="31">
        <v>0.90051282051282056</v>
      </c>
      <c r="BT46" s="31">
        <v>0.7752808988764045</v>
      </c>
      <c r="BU46" s="31">
        <v>0.86659877800407337</v>
      </c>
      <c r="BV46" s="31">
        <v>0.87959183673469388</v>
      </c>
      <c r="BW46" s="31">
        <v>0.89468302658486709</v>
      </c>
      <c r="BX46" s="31">
        <v>0.81390593047034765</v>
      </c>
      <c r="BY46" s="31">
        <v>0.85435897435897434</v>
      </c>
      <c r="BZ46" s="31">
        <v>0.85499032364888294</v>
      </c>
      <c r="CA46" s="31">
        <v>0.8917004048582996</v>
      </c>
      <c r="CB46" s="31">
        <v>0.9009100101112234</v>
      </c>
      <c r="CC46" s="31">
        <v>0.94869109947643981</v>
      </c>
      <c r="CD46" s="31">
        <v>0.9274447949526814</v>
      </c>
      <c r="CE46" s="31">
        <v>0.90697674418604646</v>
      </c>
      <c r="CF46" s="31">
        <v>0.917004048582996</v>
      </c>
      <c r="CG46" s="31">
        <v>0.92113245702730029</v>
      </c>
      <c r="CH46" s="31">
        <v>0.91626565131356963</v>
      </c>
      <c r="CI46" s="31">
        <v>0.93952033368091759</v>
      </c>
      <c r="CJ46" s="31">
        <v>0.94895833333333335</v>
      </c>
      <c r="CK46" s="31">
        <v>0.9472573839662447</v>
      </c>
      <c r="CL46" s="31">
        <v>0.92932489451476796</v>
      </c>
      <c r="CM46" s="31">
        <v>0.93599160545645332</v>
      </c>
      <c r="CN46" s="31">
        <v>0.95093945720250517</v>
      </c>
      <c r="CO46" s="31">
        <v>0.94240837696335078</v>
      </c>
      <c r="CP46" s="31">
        <v>0.94205719787393893</v>
      </c>
      <c r="CQ46" s="31">
        <v>0.94276795005202918</v>
      </c>
      <c r="CR46" s="31">
        <v>0.92379958246346561</v>
      </c>
      <c r="CS46" s="31">
        <v>0.85477178423236511</v>
      </c>
      <c r="CT46" s="31">
        <v>0.83575883575883581</v>
      </c>
      <c r="CU46" s="31">
        <v>0.96361746361746359</v>
      </c>
      <c r="CV46" s="31">
        <v>0.96342737722048066</v>
      </c>
      <c r="CW46" s="31">
        <v>0.9542143600416233</v>
      </c>
      <c r="CX46" s="31">
        <v>0.91976533619803758</v>
      </c>
      <c r="CY46" s="31">
        <v>0.95751295336787567</v>
      </c>
      <c r="CZ46" s="31">
        <v>0.93854166666666672</v>
      </c>
      <c r="DA46" s="31">
        <v>0.95688748685594116</v>
      </c>
      <c r="DB46" s="31">
        <v>0.9398963730569948</v>
      </c>
      <c r="DC46" s="31">
        <v>0.95567010309278355</v>
      </c>
      <c r="DD46" s="31">
        <v>0.94650205761316875</v>
      </c>
      <c r="DE46" s="31">
        <v>0.94444444444444442</v>
      </c>
      <c r="DF46" s="31">
        <v>0.9484935835854108</v>
      </c>
      <c r="DG46" s="31">
        <v>0.92996910401647781</v>
      </c>
      <c r="DH46" s="31">
        <v>0.9329896907216495</v>
      </c>
      <c r="DI46" s="31">
        <v>0.90446521287642778</v>
      </c>
      <c r="DJ46" s="31">
        <v>0.89793814432989694</v>
      </c>
      <c r="DK46" s="31">
        <v>0.94943240454076372</v>
      </c>
      <c r="DL46" s="31">
        <v>0.96086508753861999</v>
      </c>
      <c r="DM46" s="31">
        <v>0.93995859213250521</v>
      </c>
      <c r="DN46" s="31">
        <v>0.93080260516519164</v>
      </c>
      <c r="DO46" s="31">
        <v>0.8917322834645669</v>
      </c>
      <c r="DP46" s="31">
        <v>0.90398365679264558</v>
      </c>
      <c r="DQ46" s="31">
        <v>0.88634097706879367</v>
      </c>
      <c r="DR46" s="31">
        <v>0.88035892323030907</v>
      </c>
      <c r="DS46" s="31">
        <v>0.91921182266009849</v>
      </c>
      <c r="DT46" s="31">
        <v>0.92315680166147451</v>
      </c>
      <c r="DU46" s="31">
        <v>0.90646766169154225</v>
      </c>
      <c r="DV46" s="31">
        <v>0.9016074466527757</v>
      </c>
      <c r="DW46" s="31">
        <v>0.94378698224852076</v>
      </c>
      <c r="DX46" s="31">
        <v>0.91592482690405541</v>
      </c>
      <c r="DY46" s="31">
        <v>0.91296121097445604</v>
      </c>
      <c r="DZ46" s="31">
        <v>0.8867924528301887</v>
      </c>
      <c r="EA46" s="31">
        <v>0.94345238095238093</v>
      </c>
      <c r="EB46" s="31">
        <v>0.93</v>
      </c>
      <c r="EC46" s="31">
        <v>0.94268774703557312</v>
      </c>
      <c r="ED46" s="31">
        <v>0.92508651442073919</v>
      </c>
      <c r="EE46" s="31">
        <v>0.93743890518084061</v>
      </c>
      <c r="EF46" s="31">
        <v>0.9384765625</v>
      </c>
      <c r="EG46" s="31">
        <v>0.92141453831041253</v>
      </c>
      <c r="EH46" s="31">
        <v>0.9056047197640118</v>
      </c>
      <c r="EI46" s="31">
        <v>0.93170731707317078</v>
      </c>
      <c r="EJ46" s="31">
        <v>0.953125</v>
      </c>
      <c r="EK46" s="31">
        <v>0.94260700389105057</v>
      </c>
      <c r="EL46" s="31">
        <v>0.93291057810278388</v>
      </c>
    </row>
    <row r="47" spans="2:142" x14ac:dyDescent="0.35">
      <c r="AL47" s="19" t="s">
        <v>99</v>
      </c>
      <c r="AM47" s="31">
        <v>0.86298763082778307</v>
      </c>
      <c r="AN47" s="31">
        <v>0.79867674858223059</v>
      </c>
      <c r="AO47" s="31">
        <v>0.85442435775451953</v>
      </c>
      <c r="AP47" s="31">
        <v>0.84140550807217473</v>
      </c>
      <c r="AQ47" s="31">
        <v>0.84071630537229025</v>
      </c>
      <c r="AR47" s="31">
        <v>0.83727530747398293</v>
      </c>
      <c r="AS47" s="31">
        <v>0.85150375939849621</v>
      </c>
      <c r="AT47" s="31">
        <v>0.84099851678306803</v>
      </c>
      <c r="AU47" s="31">
        <v>0.86111111111111116</v>
      </c>
      <c r="AV47" s="31">
        <v>0.81410867492850336</v>
      </c>
      <c r="AW47" s="31">
        <v>0.85632183908045978</v>
      </c>
      <c r="AX47" s="31">
        <v>0.82538167938931295</v>
      </c>
      <c r="AY47" s="31">
        <v>0.86164122137404575</v>
      </c>
      <c r="AZ47" s="31">
        <v>0.83732057416267947</v>
      </c>
      <c r="BA47" s="31">
        <v>0.84285714285714286</v>
      </c>
      <c r="BB47" s="31">
        <v>0.84267746327189363</v>
      </c>
      <c r="BC47" s="31">
        <v>0.85687203791469191</v>
      </c>
      <c r="BD47" s="31">
        <v>0.82442748091603058</v>
      </c>
      <c r="BE47" s="31">
        <v>0.83619047619047615</v>
      </c>
      <c r="BF47" s="31">
        <v>0.80879541108986619</v>
      </c>
      <c r="BG47" s="31">
        <v>0.83509108341323102</v>
      </c>
      <c r="BH47" s="31">
        <v>0.84976076555023927</v>
      </c>
      <c r="BI47" s="31">
        <v>0.84446564885496178</v>
      </c>
      <c r="BJ47" s="31">
        <v>0.83651470056135657</v>
      </c>
      <c r="BK47" s="31">
        <v>0.75259678942398489</v>
      </c>
      <c r="BL47" s="31">
        <v>0.79372623574144485</v>
      </c>
      <c r="BM47" s="31">
        <v>0.74059787849566061</v>
      </c>
      <c r="BN47" s="31">
        <v>0.65982404692082108</v>
      </c>
      <c r="BO47" s="31">
        <v>0.8</v>
      </c>
      <c r="BP47" s="31">
        <v>0.8</v>
      </c>
      <c r="BQ47" s="31">
        <v>0.79791271347248582</v>
      </c>
      <c r="BR47" s="31">
        <v>0.76352252343634253</v>
      </c>
      <c r="BS47" s="31">
        <v>0.80552813425468905</v>
      </c>
      <c r="BT47" s="31">
        <v>0.68884540117416826</v>
      </c>
      <c r="BU47" s="31">
        <v>0.80661322645290578</v>
      </c>
      <c r="BV47" s="31">
        <v>0.77341389728096677</v>
      </c>
      <c r="BW47" s="31">
        <v>0.78230616302186884</v>
      </c>
      <c r="BX47" s="31">
        <v>0.72156862745098038</v>
      </c>
      <c r="BY47" s="31">
        <v>0.74682306940371457</v>
      </c>
      <c r="BZ47" s="31">
        <v>0.76072835986275622</v>
      </c>
      <c r="CA47" s="31">
        <v>0.8253189401373896</v>
      </c>
      <c r="CB47" s="31">
        <v>0.78265204386839482</v>
      </c>
      <c r="CC47" s="31">
        <v>0.81231953801732437</v>
      </c>
      <c r="CD47" s="31">
        <v>0.7813102119460501</v>
      </c>
      <c r="CE47" s="31">
        <v>0.80213385063045584</v>
      </c>
      <c r="CF47" s="31">
        <v>0.77095516569200784</v>
      </c>
      <c r="CG47" s="31">
        <v>0.79574056147144245</v>
      </c>
      <c r="CH47" s="31">
        <v>0.79577575882329499</v>
      </c>
      <c r="CI47" s="31">
        <v>0.80096618357487925</v>
      </c>
      <c r="CJ47" s="31">
        <v>0.77115384615384619</v>
      </c>
      <c r="CK47" s="31">
        <v>0.77734753146176183</v>
      </c>
      <c r="CL47" s="31">
        <v>0.7485265225933202</v>
      </c>
      <c r="CM47" s="31">
        <v>0.81844660194174756</v>
      </c>
      <c r="CN47" s="31">
        <v>0.81556195965417866</v>
      </c>
      <c r="CO47" s="31">
        <v>0.80676328502415462</v>
      </c>
      <c r="CP47" s="31">
        <v>0.79125227577198409</v>
      </c>
      <c r="CQ47" s="31">
        <v>0.79462571976967367</v>
      </c>
      <c r="CR47" s="31">
        <v>0.73709834469328139</v>
      </c>
      <c r="CS47" s="31">
        <v>0.78041825095057038</v>
      </c>
      <c r="CT47" s="31">
        <v>0.78164251207729474</v>
      </c>
      <c r="CU47" s="31">
        <v>0.79883945841392645</v>
      </c>
      <c r="CV47" s="31">
        <v>0.76750972762645919</v>
      </c>
      <c r="CW47" s="31">
        <v>0.74302213666987493</v>
      </c>
      <c r="CX47" s="31">
        <v>0.77187945002872582</v>
      </c>
      <c r="CY47" s="31">
        <v>0.7947976878612717</v>
      </c>
      <c r="CZ47" s="31">
        <v>0.76842105263157889</v>
      </c>
      <c r="DA47" s="31">
        <v>0.79186376537369918</v>
      </c>
      <c r="DB47" s="31">
        <v>0.77388836329233679</v>
      </c>
      <c r="DC47" s="31">
        <v>0.78952380952380952</v>
      </c>
      <c r="DD47" s="31">
        <v>0.77229601518026569</v>
      </c>
      <c r="DE47" s="31">
        <v>0.77872744539411209</v>
      </c>
      <c r="DF47" s="31">
        <v>0.78135973417958204</v>
      </c>
      <c r="DG47" s="31">
        <v>0.8696060037523452</v>
      </c>
      <c r="DH47" s="31">
        <v>0.7729422894985809</v>
      </c>
      <c r="DI47" s="31">
        <v>0.84976525821596249</v>
      </c>
      <c r="DJ47" s="31">
        <v>0.82889733840304181</v>
      </c>
      <c r="DK47" s="31">
        <v>0.83176691729323304</v>
      </c>
      <c r="DL47" s="31">
        <v>0.79154929577464783</v>
      </c>
      <c r="DM47" s="31">
        <v>0.82163187855787478</v>
      </c>
      <c r="DN47" s="31">
        <v>0.82373699735652661</v>
      </c>
      <c r="DO47" s="31">
        <v>0.81646168401135288</v>
      </c>
      <c r="DP47" s="31">
        <v>0.81775259678942402</v>
      </c>
      <c r="DQ47" s="31">
        <v>0.82984790874524716</v>
      </c>
      <c r="DR47" s="31">
        <v>0.8101983002832861</v>
      </c>
      <c r="DS47" s="31">
        <v>0.83333333333333337</v>
      </c>
      <c r="DT47" s="31">
        <v>0.82375117813383603</v>
      </c>
      <c r="DU47" s="31">
        <v>0.8420551855375833</v>
      </c>
      <c r="DV47" s="31">
        <v>0.8247714552620089</v>
      </c>
      <c r="DW47" s="31">
        <v>0.84520417853751184</v>
      </c>
      <c r="DX47" s="31">
        <v>0.78358208955223885</v>
      </c>
      <c r="DY47" s="31">
        <v>0.84761904761904761</v>
      </c>
      <c r="DZ47" s="31">
        <v>0.80304471931493815</v>
      </c>
      <c r="EA47" s="31">
        <v>0.83222748815165881</v>
      </c>
      <c r="EB47" s="31">
        <v>0.80506091846298033</v>
      </c>
      <c r="EC47" s="31">
        <v>0.82878645343367829</v>
      </c>
      <c r="ED47" s="31">
        <v>0.82078927072457908</v>
      </c>
      <c r="EE47" s="31">
        <v>0.8571428571428571</v>
      </c>
      <c r="EF47" s="31">
        <v>0.78962264150943395</v>
      </c>
      <c r="EG47" s="31">
        <v>0.82674199623352163</v>
      </c>
      <c r="EH47" s="31">
        <v>0.82808022922636104</v>
      </c>
      <c r="EI47" s="31">
        <v>0.84345351043643269</v>
      </c>
      <c r="EJ47" s="31">
        <v>0.8224740321057602</v>
      </c>
      <c r="EK47" s="31">
        <v>0.81178707224334601</v>
      </c>
      <c r="EL47" s="31">
        <v>0.82561461984253037</v>
      </c>
    </row>
    <row r="48" spans="2:142" x14ac:dyDescent="0.35">
      <c r="AL48" s="19" t="s">
        <v>100</v>
      </c>
      <c r="AM48" s="31">
        <v>0.93442622950819676</v>
      </c>
      <c r="AN48" s="31">
        <v>0.92213114754098358</v>
      </c>
      <c r="AO48" s="31">
        <v>0.84836065573770492</v>
      </c>
      <c r="AP48" s="31">
        <v>0.87295081967213117</v>
      </c>
      <c r="AQ48" s="31">
        <v>0.93442622950819676</v>
      </c>
      <c r="AR48" s="31">
        <v>0.90163934426229508</v>
      </c>
      <c r="AS48" s="31">
        <v>0.94262295081967218</v>
      </c>
      <c r="AT48" s="31">
        <v>0.90807962529274011</v>
      </c>
      <c r="AU48" s="31">
        <v>0.89156626506024095</v>
      </c>
      <c r="AV48" s="31">
        <v>0.86166007905138342</v>
      </c>
      <c r="AW48" s="31">
        <v>0.90476190476190477</v>
      </c>
      <c r="AX48" s="31">
        <v>0.82421875</v>
      </c>
      <c r="AY48" s="31">
        <v>0.90361445783132532</v>
      </c>
      <c r="AZ48" s="31">
        <v>0.87951807228915657</v>
      </c>
      <c r="BA48" s="31">
        <v>0.89919354838709675</v>
      </c>
      <c r="BB48" s="31">
        <v>0.88064758248301545</v>
      </c>
      <c r="BC48" s="31">
        <v>0.88709677419354838</v>
      </c>
      <c r="BD48" s="31">
        <v>0.8393574297188755</v>
      </c>
      <c r="BE48" s="31">
        <v>0.9098360655737705</v>
      </c>
      <c r="BF48" s="31">
        <v>0.86065573770491799</v>
      </c>
      <c r="BG48" s="31">
        <v>0.89516129032258063</v>
      </c>
      <c r="BH48" s="31">
        <v>0.88353413654618473</v>
      </c>
      <c r="BI48" s="31">
        <v>0.87903225806451613</v>
      </c>
      <c r="BJ48" s="31">
        <v>0.87923909887491347</v>
      </c>
      <c r="BK48" s="31">
        <v>0.90909090909090906</v>
      </c>
      <c r="BL48" s="31">
        <v>0.91393442622950816</v>
      </c>
      <c r="BM48" s="31">
        <v>0.81967213114754101</v>
      </c>
      <c r="BN48" s="31">
        <v>0.85245901639344257</v>
      </c>
      <c r="BO48" s="31">
        <v>0.93852459016393441</v>
      </c>
      <c r="BP48" s="31">
        <v>0.89959839357429716</v>
      </c>
      <c r="BQ48" s="31">
        <v>0.89959839357429716</v>
      </c>
      <c r="BR48" s="31">
        <v>0.89041112288198987</v>
      </c>
      <c r="BS48" s="31">
        <v>0.88524590163934425</v>
      </c>
      <c r="BT48" s="31">
        <v>0.86885245901639341</v>
      </c>
      <c r="BU48" s="31">
        <v>0.79607843137254897</v>
      </c>
      <c r="BV48" s="31">
        <v>0.84426229508196726</v>
      </c>
      <c r="BW48" s="31">
        <v>0.88114754098360659</v>
      </c>
      <c r="BX48" s="31">
        <v>0.85655737704918034</v>
      </c>
      <c r="BY48" s="31">
        <v>0.87295081967213117</v>
      </c>
      <c r="BZ48" s="31">
        <v>0.85787068925931032</v>
      </c>
      <c r="CA48" s="31">
        <v>0.95366795366795365</v>
      </c>
      <c r="CB48" s="31">
        <v>0.86475409836065575</v>
      </c>
      <c r="CC48" s="31">
        <v>0.89219330855018586</v>
      </c>
      <c r="CD48" s="31">
        <v>0.87732342007434949</v>
      </c>
      <c r="CE48" s="31">
        <v>0.86100386100386095</v>
      </c>
      <c r="CF48" s="31">
        <v>0.85433070866141736</v>
      </c>
      <c r="CG48" s="31">
        <v>0.87951807228915657</v>
      </c>
      <c r="CH48" s="31">
        <v>0.88325591751536847</v>
      </c>
      <c r="CI48" s="31">
        <v>0.9073359073359073</v>
      </c>
      <c r="CJ48" s="31">
        <v>0.9242424242424242</v>
      </c>
      <c r="CK48" s="31">
        <v>0.88122605363984674</v>
      </c>
      <c r="CL48" s="31">
        <v>0.86486486486486491</v>
      </c>
      <c r="CM48" s="31">
        <v>0.89015151515151514</v>
      </c>
      <c r="CN48" s="31">
        <v>0.91666666666666663</v>
      </c>
      <c r="CO48" s="31">
        <v>0.92803030303030298</v>
      </c>
      <c r="CP48" s="31">
        <v>0.90178824784736122</v>
      </c>
      <c r="CQ48" s="31">
        <v>0.91891891891891897</v>
      </c>
      <c r="CR48" s="31">
        <v>0.93050193050193053</v>
      </c>
      <c r="CS48" s="31">
        <v>0.86617100371747213</v>
      </c>
      <c r="CT48" s="31">
        <v>0.9073359073359073</v>
      </c>
      <c r="CU48" s="31">
        <v>0.93822393822393824</v>
      </c>
      <c r="CV48" s="31">
        <v>0.95366795366795365</v>
      </c>
      <c r="CW48" s="31">
        <v>0.92277992277992282</v>
      </c>
      <c r="CX48" s="31">
        <v>0.91965708216372055</v>
      </c>
      <c r="CY48" s="31">
        <v>0.97297297297297303</v>
      </c>
      <c r="CZ48" s="31">
        <v>0.92277992277992282</v>
      </c>
      <c r="DA48" s="31">
        <v>0.8716981132075472</v>
      </c>
      <c r="DB48" s="31">
        <v>0.86100386100386095</v>
      </c>
      <c r="DC48" s="31">
        <v>0.96525096525096521</v>
      </c>
      <c r="DD48" s="31">
        <v>0.9498069498069498</v>
      </c>
      <c r="DE48" s="31">
        <v>0.9498069498069498</v>
      </c>
      <c r="DF48" s="31">
        <v>0.92761710497559557</v>
      </c>
      <c r="DG48" s="31">
        <v>0.86415094339622645</v>
      </c>
      <c r="DH48" s="31">
        <v>0.87258687258687262</v>
      </c>
      <c r="DI48" s="31">
        <v>0.87084870848708484</v>
      </c>
      <c r="DJ48" s="31">
        <v>0.86715867158671589</v>
      </c>
      <c r="DK48" s="31">
        <v>0.92830188679245285</v>
      </c>
      <c r="DL48" s="31">
        <v>0.85660377358490569</v>
      </c>
      <c r="DM48" s="31">
        <v>0.85660377358490569</v>
      </c>
      <c r="DN48" s="31">
        <v>0.87375066143130908</v>
      </c>
      <c r="DO48" s="31">
        <v>0.90188679245283021</v>
      </c>
      <c r="DP48" s="31">
        <v>0.89433962264150946</v>
      </c>
      <c r="DQ48" s="31">
        <v>0.8545454545454545</v>
      </c>
      <c r="DR48" s="31">
        <v>0.89433962264150946</v>
      </c>
      <c r="DS48" s="31">
        <v>0.88301886792452833</v>
      </c>
      <c r="DT48" s="31">
        <v>0.89056603773584908</v>
      </c>
      <c r="DU48" s="31">
        <v>0.86792452830188682</v>
      </c>
      <c r="DV48" s="31">
        <v>0.88380298946336688</v>
      </c>
      <c r="DW48" s="31">
        <v>0.95849056603773586</v>
      </c>
      <c r="DX48" s="31">
        <v>0.88301886792452833</v>
      </c>
      <c r="DY48" s="31">
        <v>0.89433962264150946</v>
      </c>
      <c r="DZ48" s="31">
        <v>0.90036900369003692</v>
      </c>
      <c r="EA48" s="31">
        <v>0.91698113207547172</v>
      </c>
      <c r="EB48" s="31">
        <v>0.91698113207547172</v>
      </c>
      <c r="EC48" s="31">
        <v>0.95471698113207548</v>
      </c>
      <c r="ED48" s="31">
        <v>0.91784247222526127</v>
      </c>
      <c r="EE48" s="31">
        <v>0.9358490566037736</v>
      </c>
      <c r="EF48" s="31">
        <v>0.95849056603773586</v>
      </c>
      <c r="EG48" s="31">
        <v>0.96981132075471699</v>
      </c>
      <c r="EH48" s="31">
        <v>0.93454545454545457</v>
      </c>
      <c r="EI48" s="31">
        <v>0.95471698113207548</v>
      </c>
      <c r="EJ48" s="31">
        <v>0.98490566037735849</v>
      </c>
      <c r="EK48" s="31">
        <v>0.95471698113207548</v>
      </c>
      <c r="EL48" s="31">
        <v>0.95614800294045577</v>
      </c>
    </row>
    <row r="49" spans="38:142" x14ac:dyDescent="0.35">
      <c r="AL49" s="19" t="s">
        <v>101</v>
      </c>
      <c r="AM49" s="31">
        <v>0.90149892933618847</v>
      </c>
      <c r="AN49" s="31">
        <v>0.92340425531914894</v>
      </c>
      <c r="AO49" s="31">
        <v>0.89148936170212767</v>
      </c>
      <c r="AP49" s="31">
        <v>0.8995726495726496</v>
      </c>
      <c r="AQ49" s="31">
        <v>0.90638297872340423</v>
      </c>
      <c r="AR49" s="31">
        <v>0.90445859872611467</v>
      </c>
      <c r="AS49" s="31">
        <v>0.90445859872611467</v>
      </c>
      <c r="AT49" s="31">
        <v>0.9044664817293927</v>
      </c>
      <c r="AU49" s="31">
        <v>0.8493975903614458</v>
      </c>
      <c r="AV49" s="31">
        <v>0.92077087794432544</v>
      </c>
      <c r="AW49" s="31">
        <v>0.86437246963562753</v>
      </c>
      <c r="AX49" s="31">
        <v>0.85222672064777327</v>
      </c>
      <c r="AY49" s="31">
        <v>0.844758064516129</v>
      </c>
      <c r="AZ49" s="31">
        <v>0.91684434968017059</v>
      </c>
      <c r="BA49" s="31">
        <v>0.905241935483871</v>
      </c>
      <c r="BB49" s="31">
        <v>0.87908742975276333</v>
      </c>
      <c r="BC49" s="31">
        <v>0.88935281837160751</v>
      </c>
      <c r="BD49" s="31">
        <v>0.85222672064777327</v>
      </c>
      <c r="BE49" s="31">
        <v>0.82956878850102667</v>
      </c>
      <c r="BF49" s="31">
        <v>0.84232365145228216</v>
      </c>
      <c r="BG49" s="31">
        <v>0.87063655030800824</v>
      </c>
      <c r="BH49" s="31">
        <v>0.87676767676767675</v>
      </c>
      <c r="BI49" s="31">
        <v>0.8571428571428571</v>
      </c>
      <c r="BJ49" s="31">
        <v>0.85971700902731885</v>
      </c>
      <c r="BK49" s="31">
        <v>0.79915433403805491</v>
      </c>
      <c r="BL49" s="31">
        <v>0.87110187110187109</v>
      </c>
      <c r="BM49" s="31">
        <v>0.72103004291845496</v>
      </c>
      <c r="BN49" s="31">
        <v>0.7440347071583514</v>
      </c>
      <c r="BO49" s="31">
        <v>0.88981288981288986</v>
      </c>
      <c r="BP49" s="31">
        <v>0.86831275720164613</v>
      </c>
      <c r="BQ49" s="31">
        <v>0.88958333333333328</v>
      </c>
      <c r="BR49" s="31">
        <v>0.82614713365208592</v>
      </c>
      <c r="BS49" s="31">
        <v>0.83061224489795915</v>
      </c>
      <c r="BT49" s="31">
        <v>0.7857142857142857</v>
      </c>
      <c r="BU49" s="31">
        <v>0.90552995391705071</v>
      </c>
      <c r="BV49" s="31">
        <v>0.9447004608294931</v>
      </c>
      <c r="BW49" s="31">
        <v>0.86213991769547327</v>
      </c>
      <c r="BX49" s="31">
        <v>0.83476394849785407</v>
      </c>
      <c r="BY49" s="31">
        <v>0.85774058577405854</v>
      </c>
      <c r="BZ49" s="31">
        <v>0.86017162818945347</v>
      </c>
      <c r="CA49" s="31">
        <v>0.93569844789356982</v>
      </c>
      <c r="CB49" s="31">
        <v>0.92170022371364657</v>
      </c>
      <c r="CC49" s="31">
        <v>0.86696230598669621</v>
      </c>
      <c r="CD49" s="31">
        <v>0.89932885906040272</v>
      </c>
      <c r="CE49" s="31">
        <v>0.94922737306843263</v>
      </c>
      <c r="CF49" s="31">
        <v>0.94183445190156601</v>
      </c>
      <c r="CG49" s="31">
        <v>0.93905191873589167</v>
      </c>
      <c r="CH49" s="31">
        <v>0.92197194005145799</v>
      </c>
      <c r="CI49" s="31">
        <v>0.94736842105263153</v>
      </c>
      <c r="CJ49" s="31">
        <v>0.95011337868480727</v>
      </c>
      <c r="CK49" s="31">
        <v>0.92448512585812359</v>
      </c>
      <c r="CL49" s="31">
        <v>0.93087557603686633</v>
      </c>
      <c r="CM49" s="31">
        <v>0.94819819819819817</v>
      </c>
      <c r="CN49" s="31">
        <v>0.96127562642369024</v>
      </c>
      <c r="CO49" s="31">
        <v>0.95343680709534373</v>
      </c>
      <c r="CP49" s="31">
        <v>0.94510759047852311</v>
      </c>
      <c r="CQ49" s="31">
        <v>0.92427616926503342</v>
      </c>
      <c r="CR49" s="31">
        <v>0.9151785714285714</v>
      </c>
      <c r="CS49" s="31">
        <v>0.89010989010989006</v>
      </c>
      <c r="CT49" s="31">
        <v>0.92099322799097061</v>
      </c>
      <c r="CU49" s="31">
        <v>0.92</v>
      </c>
      <c r="CV49" s="31">
        <v>0.93394077448747148</v>
      </c>
      <c r="CW49" s="31">
        <v>0.91796008869179602</v>
      </c>
      <c r="CX49" s="31">
        <v>0.91749410313910462</v>
      </c>
      <c r="CY49" s="31">
        <v>0.90846681922196793</v>
      </c>
      <c r="CZ49" s="31">
        <v>0.95056179775280902</v>
      </c>
      <c r="DA49" s="31">
        <v>0.93039443155452439</v>
      </c>
      <c r="DB49" s="31">
        <v>0.95070422535211263</v>
      </c>
      <c r="DC49" s="31">
        <v>0.94369369369369371</v>
      </c>
      <c r="DD49" s="31">
        <v>0.96008869179600886</v>
      </c>
      <c r="DE49" s="31">
        <v>0.93640350877192979</v>
      </c>
      <c r="DF49" s="31">
        <v>0.94004473830614954</v>
      </c>
      <c r="DG49" s="31">
        <v>0.95</v>
      </c>
      <c r="DH49" s="31">
        <v>0.95348837209302328</v>
      </c>
      <c r="DI49" s="31">
        <v>0.94009216589861755</v>
      </c>
      <c r="DJ49" s="31">
        <v>0.92904656319290468</v>
      </c>
      <c r="DK49" s="31">
        <v>0.96296296296296291</v>
      </c>
      <c r="DL49" s="31">
        <v>0.95161290322580649</v>
      </c>
      <c r="DM49" s="31">
        <v>0.96082949308755761</v>
      </c>
      <c r="DN49" s="31">
        <v>0.94971892292298166</v>
      </c>
      <c r="DO49" s="31">
        <v>0.95881006864988561</v>
      </c>
      <c r="DP49" s="31">
        <v>0.95333333333333337</v>
      </c>
      <c r="DQ49" s="31">
        <v>0.94495412844036697</v>
      </c>
      <c r="DR49" s="31">
        <v>0.95081967213114749</v>
      </c>
      <c r="DS49" s="31">
        <v>0.9438202247191011</v>
      </c>
      <c r="DT49" s="31">
        <v>0.95777777777777773</v>
      </c>
      <c r="DU49" s="31">
        <v>0.95270270270270274</v>
      </c>
      <c r="DV49" s="31">
        <v>0.95174541539347346</v>
      </c>
      <c r="DW49" s="31">
        <v>0.93835616438356162</v>
      </c>
      <c r="DX49" s="31">
        <v>0.96162528216704291</v>
      </c>
      <c r="DY49" s="31">
        <v>0.93720930232558142</v>
      </c>
      <c r="DZ49" s="31">
        <v>0.94651162790697674</v>
      </c>
      <c r="EA49" s="31">
        <v>0.94369369369369371</v>
      </c>
      <c r="EB49" s="31">
        <v>0.97065462753950338</v>
      </c>
      <c r="EC49" s="31">
        <v>0.9598214285714286</v>
      </c>
      <c r="ED49" s="31">
        <v>0.9511245895125412</v>
      </c>
      <c r="EE49" s="31">
        <v>0.95154185022026427</v>
      </c>
      <c r="EF49" s="31">
        <v>0.94013303769401335</v>
      </c>
      <c r="EG49" s="31">
        <v>0.9610983981693364</v>
      </c>
      <c r="EH49" s="31">
        <v>0.97459584295612012</v>
      </c>
      <c r="EI49" s="31">
        <v>0.96061269146608319</v>
      </c>
      <c r="EJ49" s="31">
        <v>0.9668141592920354</v>
      </c>
      <c r="EK49" s="31">
        <v>0.94922737306843263</v>
      </c>
      <c r="EL49" s="31">
        <v>0.95771762183804066</v>
      </c>
    </row>
    <row r="50" spans="38:142" x14ac:dyDescent="0.35">
      <c r="AL50" s="19" t="s">
        <v>102</v>
      </c>
      <c r="AM50" s="31">
        <v>0.98320895522388063</v>
      </c>
      <c r="AN50" s="31">
        <v>0.96282527881040891</v>
      </c>
      <c r="AO50" s="31">
        <v>0.9719101123595506</v>
      </c>
      <c r="AP50" s="31">
        <v>0.96846011131725418</v>
      </c>
      <c r="AQ50" s="31">
        <v>0.97761194029850751</v>
      </c>
      <c r="AR50" s="31">
        <v>0.96678966789667897</v>
      </c>
      <c r="AS50" s="31">
        <v>0.9795539033457249</v>
      </c>
      <c r="AT50" s="31">
        <v>0.9729085670360007</v>
      </c>
      <c r="AU50" s="31">
        <v>0.96125461254612543</v>
      </c>
      <c r="AV50" s="31">
        <v>0.98724954462659376</v>
      </c>
      <c r="AW50" s="31">
        <v>0.96846011131725418</v>
      </c>
      <c r="AX50" s="31">
        <v>0.97440585009140768</v>
      </c>
      <c r="AY50" s="31">
        <v>0.97623400365630708</v>
      </c>
      <c r="AZ50" s="31">
        <v>0.97472924187725629</v>
      </c>
      <c r="BA50" s="31">
        <v>0.963963963963964</v>
      </c>
      <c r="BB50" s="31">
        <v>0.97232818972555835</v>
      </c>
      <c r="BC50" s="31">
        <v>0.96015180265654654</v>
      </c>
      <c r="BD50" s="31">
        <v>0.98545454545454547</v>
      </c>
      <c r="BE50" s="31">
        <v>0.9563567362428842</v>
      </c>
      <c r="BF50" s="31">
        <v>0.97556390977443608</v>
      </c>
      <c r="BG50" s="31">
        <v>0.99250936329588013</v>
      </c>
      <c r="BH50" s="31">
        <v>0.99089253187613846</v>
      </c>
      <c r="BI50" s="31">
        <v>0.98540145985401462</v>
      </c>
      <c r="BJ50" s="31">
        <v>0.97804719273634944</v>
      </c>
      <c r="BK50" s="31">
        <v>0.92523364485981308</v>
      </c>
      <c r="BL50" s="31">
        <v>0.97943925233644857</v>
      </c>
      <c r="BM50" s="31">
        <v>0.87382297551789079</v>
      </c>
      <c r="BN50" s="31">
        <v>0.90583804143126179</v>
      </c>
      <c r="BO50" s="31">
        <v>0.92870201096892135</v>
      </c>
      <c r="BP50" s="31">
        <v>0.96118299445471345</v>
      </c>
      <c r="BQ50" s="31">
        <v>0.9579524680073126</v>
      </c>
      <c r="BR50" s="31">
        <v>0.93316734108233745</v>
      </c>
      <c r="BS50" s="31">
        <v>0.97292418772563172</v>
      </c>
      <c r="BT50" s="31">
        <v>0.90806754221388364</v>
      </c>
      <c r="BU50" s="31">
        <v>0.9630314232902033</v>
      </c>
      <c r="BV50" s="31">
        <v>0.96520146520146521</v>
      </c>
      <c r="BW50" s="31">
        <v>0.95503597122302153</v>
      </c>
      <c r="BX50" s="31">
        <v>0.93866171003717469</v>
      </c>
      <c r="BY50" s="31">
        <v>0.96336996336996339</v>
      </c>
      <c r="BZ50" s="31">
        <v>0.95232746615162056</v>
      </c>
      <c r="CA50" s="31">
        <v>0.93659420289855078</v>
      </c>
      <c r="CB50" s="31">
        <v>0.96188747731397461</v>
      </c>
      <c r="CC50" s="31">
        <v>0.93198529411764708</v>
      </c>
      <c r="CD50" s="31">
        <v>0.93406593406593408</v>
      </c>
      <c r="CE50" s="31">
        <v>0.95970695970695974</v>
      </c>
      <c r="CF50" s="31">
        <v>0.96389891696750907</v>
      </c>
      <c r="CG50" s="31">
        <v>0.95619047619047615</v>
      </c>
      <c r="CH50" s="31">
        <v>0.94918989446586455</v>
      </c>
      <c r="CI50" s="31">
        <v>0.97640653357531759</v>
      </c>
      <c r="CJ50" s="31">
        <v>0.9375</v>
      </c>
      <c r="CK50" s="31">
        <v>0.97640653357531759</v>
      </c>
      <c r="CL50" s="31">
        <v>0.96160877513711152</v>
      </c>
      <c r="CM50" s="31">
        <v>0.94394213381555159</v>
      </c>
      <c r="CN50" s="31">
        <v>0.97069597069597069</v>
      </c>
      <c r="CO50" s="31">
        <v>0.95471014492753625</v>
      </c>
      <c r="CP50" s="31">
        <v>0.96018144167525787</v>
      </c>
      <c r="CQ50" s="31">
        <v>0.96500920810313073</v>
      </c>
      <c r="CR50" s="31">
        <v>0.97252747252747251</v>
      </c>
      <c r="CS50" s="31">
        <v>0.93211009174311932</v>
      </c>
      <c r="CT50" s="31">
        <v>0.95620437956204385</v>
      </c>
      <c r="CU50" s="31">
        <v>0.97431192660550459</v>
      </c>
      <c r="CV50" s="31">
        <v>0.96588868940754036</v>
      </c>
      <c r="CW50" s="31">
        <v>0.94717668488160289</v>
      </c>
      <c r="CX50" s="31">
        <v>0.95903263611863054</v>
      </c>
      <c r="CY50" s="31">
        <v>0.96481481481481479</v>
      </c>
      <c r="CZ50" s="31">
        <v>0.96903460837887068</v>
      </c>
      <c r="DA50" s="31">
        <v>0.96481481481481479</v>
      </c>
      <c r="DB50" s="31">
        <v>0.95036764705882348</v>
      </c>
      <c r="DC50" s="31">
        <v>0.9576427255985267</v>
      </c>
      <c r="DD50" s="31">
        <v>0.97106690777576854</v>
      </c>
      <c r="DE50" s="31">
        <v>0.97267759562841527</v>
      </c>
      <c r="DF50" s="31">
        <v>0.96434558772429058</v>
      </c>
      <c r="DG50" s="31">
        <v>0.97096188747731393</v>
      </c>
      <c r="DH50" s="31">
        <v>0.96691176470588236</v>
      </c>
      <c r="DI50" s="31">
        <v>0.95045871559633033</v>
      </c>
      <c r="DJ50" s="31">
        <v>0.96947935368043092</v>
      </c>
      <c r="DK50" s="31">
        <v>0.97826086956521741</v>
      </c>
      <c r="DL50" s="31">
        <v>0.97833935018050544</v>
      </c>
      <c r="DM50" s="31">
        <v>0.99456521739130432</v>
      </c>
      <c r="DN50" s="31">
        <v>0.97271102265671217</v>
      </c>
      <c r="DO50" s="31">
        <v>0.93944954128440372</v>
      </c>
      <c r="DP50" s="31">
        <v>0.97504456327985745</v>
      </c>
      <c r="DQ50" s="31">
        <v>0.92293577981651376</v>
      </c>
      <c r="DR50" s="31">
        <v>0.95036764705882348</v>
      </c>
      <c r="DS50" s="31">
        <v>0.94139194139194138</v>
      </c>
      <c r="DT50" s="31">
        <v>0.98185117967332125</v>
      </c>
      <c r="DU50" s="31">
        <v>0.95818181818181813</v>
      </c>
      <c r="DV50" s="31">
        <v>0.95274606724095412</v>
      </c>
      <c r="DW50" s="31">
        <v>0.95412844036697253</v>
      </c>
      <c r="DX50" s="31">
        <v>0.97431192660550459</v>
      </c>
      <c r="DY50" s="31">
        <v>0.93001841620626147</v>
      </c>
      <c r="DZ50" s="31">
        <v>0.94678899082568813</v>
      </c>
      <c r="EA50" s="31">
        <v>0.96532846715328469</v>
      </c>
      <c r="EB50" s="31">
        <v>0.95519713261648742</v>
      </c>
      <c r="EC50" s="31">
        <v>0.97627737226277367</v>
      </c>
      <c r="ED50" s="31">
        <v>0.95743582086242462</v>
      </c>
      <c r="EE50" s="31">
        <v>0.96880733944954134</v>
      </c>
      <c r="EF50" s="31">
        <v>0.96526508226691043</v>
      </c>
      <c r="EG50" s="31">
        <v>0.94659300184162065</v>
      </c>
      <c r="EH50" s="31">
        <v>0.97431192660550459</v>
      </c>
      <c r="EI50" s="31">
        <v>0.94505494505494503</v>
      </c>
      <c r="EJ50" s="31">
        <v>0.97282608695652173</v>
      </c>
      <c r="EK50" s="31">
        <v>0.98550724637681164</v>
      </c>
      <c r="EL50" s="31">
        <v>0.96548080407883663</v>
      </c>
    </row>
    <row r="51" spans="38:142" x14ac:dyDescent="0.35">
      <c r="AL51" s="19" t="s">
        <v>103</v>
      </c>
      <c r="AM51" s="31">
        <v>0.96844660194174759</v>
      </c>
      <c r="AN51" s="31">
        <v>0.9770679770679771</v>
      </c>
      <c r="AO51" s="31">
        <v>0.94902912621359226</v>
      </c>
      <c r="AP51" s="31">
        <v>0.95641646489104115</v>
      </c>
      <c r="AQ51" s="31">
        <v>0.970873786407767</v>
      </c>
      <c r="AR51" s="31">
        <v>0.9654895666131621</v>
      </c>
      <c r="AS51" s="31">
        <v>0.96156925540432348</v>
      </c>
      <c r="AT51" s="31">
        <v>0.96412753979137289</v>
      </c>
      <c r="AU51" s="31">
        <v>0.95261044176706833</v>
      </c>
      <c r="AV51" s="31">
        <v>0.97001620745542949</v>
      </c>
      <c r="AW51" s="31">
        <v>0.95276220976781423</v>
      </c>
      <c r="AX51" s="31">
        <v>0.94799999999999995</v>
      </c>
      <c r="AY51" s="31">
        <v>0.96685529506871459</v>
      </c>
      <c r="AZ51" s="31">
        <v>0.9741309620048505</v>
      </c>
      <c r="BA51" s="31">
        <v>0.9662379421221865</v>
      </c>
      <c r="BB51" s="31">
        <v>0.96151615116943767</v>
      </c>
      <c r="BC51" s="31">
        <v>0.96492659053833607</v>
      </c>
      <c r="BD51" s="31">
        <v>0.97330097087378642</v>
      </c>
      <c r="BE51" s="31">
        <v>0.94385679414157853</v>
      </c>
      <c r="BF51" s="31">
        <v>0.96338486574450777</v>
      </c>
      <c r="BG51" s="31">
        <v>0.9682151589242054</v>
      </c>
      <c r="BH51" s="31">
        <v>0.96185064935064934</v>
      </c>
      <c r="BI51" s="31">
        <v>0.96088019559902205</v>
      </c>
      <c r="BJ51" s="31">
        <v>0.96234503216744061</v>
      </c>
      <c r="BK51" s="31">
        <v>0.89473684210526316</v>
      </c>
      <c r="BL51" s="31">
        <v>0.95462046204620465</v>
      </c>
      <c r="BM51" s="31">
        <v>0.83374485596707815</v>
      </c>
      <c r="BN51" s="31">
        <v>0.80032867707477406</v>
      </c>
      <c r="BO51" s="31">
        <v>0.92969396195202647</v>
      </c>
      <c r="BP51" s="31">
        <v>0.95218466611706509</v>
      </c>
      <c r="BQ51" s="31">
        <v>0.94983552631578949</v>
      </c>
      <c r="BR51" s="31">
        <v>0.90216357022545723</v>
      </c>
      <c r="BS51" s="31">
        <v>0.92792792792792789</v>
      </c>
      <c r="BT51" s="31">
        <v>0.86363636363636365</v>
      </c>
      <c r="BU51" s="31">
        <v>0.92055692055692051</v>
      </c>
      <c r="BV51" s="31">
        <v>0.93631100082712981</v>
      </c>
      <c r="BW51" s="31">
        <v>0.94233937397034595</v>
      </c>
      <c r="BX51" s="31">
        <v>0.91077441077441079</v>
      </c>
      <c r="BY51" s="31">
        <v>0.93828190158465385</v>
      </c>
      <c r="BZ51" s="31">
        <v>0.91997541418253603</v>
      </c>
      <c r="CA51" s="31">
        <v>0.94430794430794429</v>
      </c>
      <c r="CB51" s="31">
        <v>0.9305785123966942</v>
      </c>
      <c r="CC51" s="31">
        <v>0.93969030154849231</v>
      </c>
      <c r="CD51" s="31">
        <v>0.95004095004095002</v>
      </c>
      <c r="CE51" s="31">
        <v>0.95559210526315785</v>
      </c>
      <c r="CF51" s="31">
        <v>0.94029850746268662</v>
      </c>
      <c r="CG51" s="31">
        <v>0.95300906842539157</v>
      </c>
      <c r="CH51" s="31">
        <v>0.94478819849218798</v>
      </c>
      <c r="CI51" s="31">
        <v>0.93907392363931763</v>
      </c>
      <c r="CJ51" s="31">
        <v>0.94890510948905105</v>
      </c>
      <c r="CK51" s="31">
        <v>0.94026186579378068</v>
      </c>
      <c r="CL51" s="31">
        <v>0.93857493857493857</v>
      </c>
      <c r="CM51" s="31">
        <v>0.92586623690572123</v>
      </c>
      <c r="CN51" s="31">
        <v>0.94202898550724634</v>
      </c>
      <c r="CO51" s="31">
        <v>0.93944223107569724</v>
      </c>
      <c r="CP51" s="31">
        <v>0.9391647558551075</v>
      </c>
      <c r="CQ51" s="31">
        <v>0.92725819344524385</v>
      </c>
      <c r="CR51" s="31">
        <v>0.96543209876543212</v>
      </c>
      <c r="CS51" s="31">
        <v>0.93759999999999999</v>
      </c>
      <c r="CT51" s="31">
        <v>0.93764988009592332</v>
      </c>
      <c r="CU51" s="31">
        <v>0.94774919614147912</v>
      </c>
      <c r="CV51" s="31">
        <v>0.95454545454545459</v>
      </c>
      <c r="CW51" s="31">
        <v>0.94426494345718903</v>
      </c>
      <c r="CX51" s="31">
        <v>0.94492853806438892</v>
      </c>
      <c r="CY51" s="31">
        <v>0.93648208469055372</v>
      </c>
      <c r="CZ51" s="31">
        <v>0.96979591836734691</v>
      </c>
      <c r="DA51" s="31">
        <v>0.94955248169243289</v>
      </c>
      <c r="DB51" s="31">
        <v>0.94484995944849959</v>
      </c>
      <c r="DC51" s="31">
        <v>0.95362082994304309</v>
      </c>
      <c r="DD51" s="31">
        <v>0.96761133603238869</v>
      </c>
      <c r="DE51" s="31">
        <v>0.96113360323886643</v>
      </c>
      <c r="DF51" s="31">
        <v>0.95472088763044727</v>
      </c>
      <c r="DG51" s="31">
        <v>0.96212731668009666</v>
      </c>
      <c r="DH51" s="31">
        <v>0.95528455284552849</v>
      </c>
      <c r="DI51" s="31">
        <v>0.95487510072522164</v>
      </c>
      <c r="DJ51" s="31">
        <v>0.95487510072522164</v>
      </c>
      <c r="DK51" s="31">
        <v>0.96859903381642509</v>
      </c>
      <c r="DL51" s="31">
        <v>0.95528455284552849</v>
      </c>
      <c r="DM51" s="31">
        <v>0.95944849959448497</v>
      </c>
      <c r="DN51" s="31">
        <v>0.95864202246178665</v>
      </c>
      <c r="DO51" s="31">
        <v>0.94959349593495934</v>
      </c>
      <c r="DP51" s="31">
        <v>0.96445880452342492</v>
      </c>
      <c r="DQ51" s="31">
        <v>0.94146341463414629</v>
      </c>
      <c r="DR51" s="31">
        <v>0.95447154471544715</v>
      </c>
      <c r="DS51" s="31">
        <v>0.94476035743298137</v>
      </c>
      <c r="DT51" s="31">
        <v>0.95</v>
      </c>
      <c r="DU51" s="31">
        <v>0.93922204213938409</v>
      </c>
      <c r="DV51" s="31">
        <v>0.94913852276862032</v>
      </c>
      <c r="DW51" s="31">
        <v>0.95718901453957994</v>
      </c>
      <c r="DX51" s="31">
        <v>0.96593673965936744</v>
      </c>
      <c r="DY51" s="31">
        <v>0.93284789644012944</v>
      </c>
      <c r="DZ51" s="31">
        <v>0.9563106796116505</v>
      </c>
      <c r="EA51" s="31">
        <v>0.96359223300970875</v>
      </c>
      <c r="EB51" s="31">
        <v>0.95863746958637475</v>
      </c>
      <c r="EC51" s="31">
        <v>0.95641646489104115</v>
      </c>
      <c r="ED51" s="31">
        <v>0.95584721396255035</v>
      </c>
      <c r="EE51" s="31">
        <v>0.95718901453957994</v>
      </c>
      <c r="EF51" s="31">
        <v>0.96839546191247972</v>
      </c>
      <c r="EG51" s="31">
        <v>0.95867098865478118</v>
      </c>
      <c r="EH51" s="31">
        <v>0.95226537216828477</v>
      </c>
      <c r="EI51" s="31">
        <v>0.96523848019401781</v>
      </c>
      <c r="EJ51" s="31">
        <v>0.96910569105691058</v>
      </c>
      <c r="EK51" s="31">
        <v>0.96771589991928975</v>
      </c>
      <c r="EL51" s="31">
        <v>0.96265441549219199</v>
      </c>
    </row>
    <row r="52" spans="38:142" x14ac:dyDescent="0.35">
      <c r="AL52" s="19" t="s">
        <v>104</v>
      </c>
      <c r="AM52" s="31">
        <v>0.95707070707070707</v>
      </c>
      <c r="AN52" s="31">
        <v>0.94191919191919193</v>
      </c>
      <c r="AO52" s="31">
        <v>0.94444444444444442</v>
      </c>
      <c r="AP52" s="31">
        <v>0.95959595959595956</v>
      </c>
      <c r="AQ52" s="31">
        <v>0.96212121212121215</v>
      </c>
      <c r="AR52" s="31">
        <v>0.95959595959595956</v>
      </c>
      <c r="AS52" s="31">
        <v>0.94444444444444442</v>
      </c>
      <c r="AT52" s="31">
        <v>0.95274170274170278</v>
      </c>
      <c r="AU52" s="31">
        <v>0.97727272727272729</v>
      </c>
      <c r="AV52" s="31">
        <v>0.97727272727272729</v>
      </c>
      <c r="AW52" s="31">
        <v>0.98492462311557794</v>
      </c>
      <c r="AX52" s="31">
        <v>0.98250000000000004</v>
      </c>
      <c r="AY52" s="31">
        <v>0.95454545454545459</v>
      </c>
      <c r="AZ52" s="31">
        <v>0.9747474747474747</v>
      </c>
      <c r="BA52" s="31">
        <v>0.97979797979797978</v>
      </c>
      <c r="BB52" s="31">
        <v>0.97586585525027736</v>
      </c>
      <c r="BC52" s="31">
        <v>0.97727272727272729</v>
      </c>
      <c r="BD52" s="31">
        <v>0.9949874686716792</v>
      </c>
      <c r="BE52" s="31" t="e">
        <v>#NUM!</v>
      </c>
      <c r="BF52" s="31">
        <v>0.95202020202020199</v>
      </c>
      <c r="BG52" s="31">
        <v>0.96212121212121215</v>
      </c>
      <c r="BH52" s="31">
        <v>0.96464646464646464</v>
      </c>
      <c r="BI52" s="31">
        <v>0.97727272727272729</v>
      </c>
      <c r="BJ52" s="31" t="e">
        <v>#NUM!</v>
      </c>
      <c r="BK52" s="31">
        <v>0.89393939393939392</v>
      </c>
      <c r="BL52" s="31">
        <v>0.96464646464646464</v>
      </c>
      <c r="BM52" s="31">
        <v>0.76010101010101006</v>
      </c>
      <c r="BN52" s="31">
        <v>0.78787878787878785</v>
      </c>
      <c r="BO52" s="31">
        <v>0.91919191919191923</v>
      </c>
      <c r="BP52" s="31">
        <v>0.93939393939393945</v>
      </c>
      <c r="BQ52" s="31">
        <v>0.9267676767676768</v>
      </c>
      <c r="BR52" s="31">
        <v>0.88455988455988455</v>
      </c>
      <c r="BS52" s="31">
        <v>0.90909090909090906</v>
      </c>
      <c r="BT52" s="31">
        <v>0.84343434343434343</v>
      </c>
      <c r="BU52" s="31">
        <v>0.89141414141414144</v>
      </c>
      <c r="BV52" s="31">
        <v>0.91161616161616166</v>
      </c>
      <c r="BW52" s="31">
        <v>0.90404040404040409</v>
      </c>
      <c r="BX52" s="31">
        <v>0.86363636363636365</v>
      </c>
      <c r="BY52" s="31">
        <v>0.89141414141414144</v>
      </c>
      <c r="BZ52" s="31">
        <v>0.88780663780663782</v>
      </c>
      <c r="CA52" s="31">
        <v>0.93686868686868685</v>
      </c>
      <c r="CB52" s="31">
        <v>0.93181818181818177</v>
      </c>
      <c r="CC52" s="31">
        <v>0.94191919191919193</v>
      </c>
      <c r="CD52" s="31">
        <v>0.95454545454545459</v>
      </c>
      <c r="CE52" s="31">
        <v>0.9494949494949495</v>
      </c>
      <c r="CF52" s="31">
        <v>0.94191919191919193</v>
      </c>
      <c r="CG52" s="31">
        <v>0.95707070707070707</v>
      </c>
      <c r="CH52" s="31">
        <v>0.94480519480519476</v>
      </c>
      <c r="CI52" s="31">
        <v>0.96212121212121215</v>
      </c>
      <c r="CJ52" s="31">
        <v>0.93434343434343436</v>
      </c>
      <c r="CK52" s="31">
        <v>0.95202020202020199</v>
      </c>
      <c r="CL52" s="31">
        <v>0.96464646464646464</v>
      </c>
      <c r="CM52" s="31">
        <v>0.93434343434343436</v>
      </c>
      <c r="CN52" s="31">
        <v>0.94191919191919193</v>
      </c>
      <c r="CO52" s="31">
        <v>0.93181818181818177</v>
      </c>
      <c r="CP52" s="31">
        <v>0.94588744588744589</v>
      </c>
      <c r="CQ52" s="31">
        <v>0.91666666666666663</v>
      </c>
      <c r="CR52" s="31">
        <v>0.94376528117359415</v>
      </c>
      <c r="CS52" s="31">
        <v>0.90656565656565657</v>
      </c>
      <c r="CT52" s="31">
        <v>0.92929292929292928</v>
      </c>
      <c r="CU52" s="31">
        <v>0.91919191919191923</v>
      </c>
      <c r="CV52" s="31">
        <v>0.91687041564792171</v>
      </c>
      <c r="CW52" s="31">
        <v>0.92171717171717171</v>
      </c>
      <c r="CX52" s="31">
        <v>0.92201000575083714</v>
      </c>
      <c r="CY52" s="31">
        <v>0.90909090909090906</v>
      </c>
      <c r="CZ52" s="31">
        <v>0.93908629441624369</v>
      </c>
      <c r="DA52" s="31">
        <v>0.89646464646464652</v>
      </c>
      <c r="DB52" s="31">
        <v>0.94444444444444442</v>
      </c>
      <c r="DC52" s="31">
        <v>0.9494949494949495</v>
      </c>
      <c r="DD52" s="31">
        <v>0.94696969696969702</v>
      </c>
      <c r="DE52" s="31">
        <v>0.9747474747474747</v>
      </c>
      <c r="DF52" s="31">
        <v>0.93718548794690937</v>
      </c>
      <c r="DG52" s="31">
        <v>0.97979797979797978</v>
      </c>
      <c r="DH52" s="31">
        <v>0.95202020202020199</v>
      </c>
      <c r="DI52" s="31">
        <v>0.96212121212121215</v>
      </c>
      <c r="DJ52" s="31">
        <v>0.95454545454545459</v>
      </c>
      <c r="DK52" s="31">
        <v>0.9747474747474747</v>
      </c>
      <c r="DL52" s="31">
        <v>0.9494949494949495</v>
      </c>
      <c r="DM52" s="31">
        <v>0.96977329974811088</v>
      </c>
      <c r="DN52" s="31">
        <v>0.96321436749648337</v>
      </c>
      <c r="DO52" s="31">
        <v>0.95707070707070707</v>
      </c>
      <c r="DP52" s="31">
        <v>0.97979797979797978</v>
      </c>
      <c r="DQ52" s="31">
        <v>0.96464646464646464</v>
      </c>
      <c r="DR52" s="31">
        <v>0.95707070707070707</v>
      </c>
      <c r="DS52" s="31">
        <v>0.96231155778894473</v>
      </c>
      <c r="DT52" s="31">
        <v>0.98743718592964824</v>
      </c>
      <c r="DU52" s="31">
        <v>0.9747474747474747</v>
      </c>
      <c r="DV52" s="31">
        <v>0.96901172529313229</v>
      </c>
      <c r="DW52" s="31">
        <v>0.96464646464646464</v>
      </c>
      <c r="DX52" s="31">
        <v>0.95454545454545459</v>
      </c>
      <c r="DY52" s="31">
        <v>0.96464646464646464</v>
      </c>
      <c r="DZ52" s="31">
        <v>0.96717171717171713</v>
      </c>
      <c r="EA52" s="31">
        <v>0.96717171717171713</v>
      </c>
      <c r="EB52" s="31">
        <v>0.95707070707070707</v>
      </c>
      <c r="EC52" s="31">
        <v>0.97222222222222221</v>
      </c>
      <c r="ED52" s="31">
        <v>0.96392496392496396</v>
      </c>
      <c r="EE52" s="31">
        <v>0.99012345679012348</v>
      </c>
      <c r="EF52" s="31">
        <v>0.96782178217821779</v>
      </c>
      <c r="EG52" s="31">
        <v>0.97283950617283954</v>
      </c>
      <c r="EH52" s="31">
        <v>0.99004975124378114</v>
      </c>
      <c r="EI52" s="31">
        <v>0.97555012224938875</v>
      </c>
      <c r="EJ52" s="31">
        <v>0.96508728179551118</v>
      </c>
      <c r="EK52" s="31">
        <v>0.96560196560196565</v>
      </c>
      <c r="EL52" s="31">
        <v>0.97529626657597535</v>
      </c>
    </row>
    <row r="53" spans="38:142" x14ac:dyDescent="0.35">
      <c r="AL53" s="19" t="s">
        <v>105</v>
      </c>
      <c r="AM53" s="31">
        <v>0.96256684491978606</v>
      </c>
      <c r="AN53" s="31">
        <v>0.96812749003984067</v>
      </c>
      <c r="AO53" s="31">
        <v>0.96662216288384517</v>
      </c>
      <c r="AP53" s="31">
        <v>0.9720372836218375</v>
      </c>
      <c r="AQ53" s="31">
        <v>0.96671105193075901</v>
      </c>
      <c r="AR53" s="31">
        <v>0.97066666666666668</v>
      </c>
      <c r="AS53" s="31">
        <v>0.96276595744680848</v>
      </c>
      <c r="AT53" s="31">
        <v>0.96707106535850629</v>
      </c>
      <c r="AU53" s="31">
        <v>0.97989276139410186</v>
      </c>
      <c r="AV53" s="31">
        <v>0.97354497354497349</v>
      </c>
      <c r="AW53" s="31">
        <v>0.97435897435897434</v>
      </c>
      <c r="AX53" s="31">
        <v>0.98247978436657679</v>
      </c>
      <c r="AY53" s="31">
        <v>0.98529411764705888</v>
      </c>
      <c r="AZ53" s="31">
        <v>0.96921017402945109</v>
      </c>
      <c r="BA53" s="31">
        <v>0.98266666666666669</v>
      </c>
      <c r="BB53" s="31">
        <v>0.97820677885825769</v>
      </c>
      <c r="BC53" s="31">
        <v>0.95716198125836682</v>
      </c>
      <c r="BD53" s="31">
        <v>0.98395721925133695</v>
      </c>
      <c r="BE53" s="31">
        <v>0.95270270270270274</v>
      </c>
      <c r="BF53" s="31">
        <v>0.96195652173913049</v>
      </c>
      <c r="BG53" s="31">
        <v>0.97711978465679672</v>
      </c>
      <c r="BH53" s="31">
        <v>0.97463284379172233</v>
      </c>
      <c r="BI53" s="31">
        <v>0.97184986595174261</v>
      </c>
      <c r="BJ53" s="31">
        <v>0.96848298847882841</v>
      </c>
      <c r="BK53" s="31">
        <v>0.91280653950953683</v>
      </c>
      <c r="BL53" s="31">
        <v>0.96666666666666667</v>
      </c>
      <c r="BM53" s="31">
        <v>0.83243243243243248</v>
      </c>
      <c r="BN53" s="31">
        <v>0.84594594594594597</v>
      </c>
      <c r="BO53" s="31">
        <v>0.93682795698924726</v>
      </c>
      <c r="BP53" s="31">
        <v>0.94504021447721176</v>
      </c>
      <c r="BQ53" s="31">
        <v>0.95013477088948783</v>
      </c>
      <c r="BR53" s="31">
        <v>0.91283636098721843</v>
      </c>
      <c r="BS53" s="31">
        <v>0.95040214477211793</v>
      </c>
      <c r="BT53" s="31">
        <v>0.88529014844804321</v>
      </c>
      <c r="BU53" s="31">
        <v>0.91877496671105197</v>
      </c>
      <c r="BV53" s="31">
        <v>0.94466936572199733</v>
      </c>
      <c r="BW53" s="31">
        <v>0.95588235294117652</v>
      </c>
      <c r="BX53" s="31">
        <v>0.89919354838709675</v>
      </c>
      <c r="BY53" s="31">
        <v>0.91611185086551261</v>
      </c>
      <c r="BZ53" s="31">
        <v>0.92433205397814233</v>
      </c>
      <c r="CA53" s="31">
        <v>0.94793057409879844</v>
      </c>
      <c r="CB53" s="31">
        <v>0.96666666666666667</v>
      </c>
      <c r="CC53" s="31">
        <v>0.92885906040268451</v>
      </c>
      <c r="CD53" s="31">
        <v>0.93557046979865777</v>
      </c>
      <c r="CE53" s="31">
        <v>0.9521276595744681</v>
      </c>
      <c r="CF53" s="31">
        <v>0.9547270306258322</v>
      </c>
      <c r="CG53" s="31">
        <v>0.97086092715231787</v>
      </c>
      <c r="CH53" s="31">
        <v>0.95096319833134646</v>
      </c>
      <c r="CI53" s="31">
        <v>0.95060080106809075</v>
      </c>
      <c r="CJ53" s="31">
        <v>0.95973154362416102</v>
      </c>
      <c r="CK53" s="31">
        <v>0.95816464237516874</v>
      </c>
      <c r="CL53" s="31">
        <v>0.97708894878706198</v>
      </c>
      <c r="CM53" s="31">
        <v>0.94015957446808507</v>
      </c>
      <c r="CN53" s="31">
        <v>0.96666666666666667</v>
      </c>
      <c r="CO53" s="31">
        <v>0.95370370370370372</v>
      </c>
      <c r="CP53" s="31">
        <v>0.95801655438470534</v>
      </c>
      <c r="CQ53" s="31">
        <v>0.95112285336856006</v>
      </c>
      <c r="CR53" s="31">
        <v>0.97891963109354418</v>
      </c>
      <c r="CS53" s="31">
        <v>0.95276653171390013</v>
      </c>
      <c r="CT53" s="31">
        <v>0.96375838926174495</v>
      </c>
      <c r="CU53" s="31">
        <v>0.97229551451187335</v>
      </c>
      <c r="CV53" s="31">
        <v>0.95079787234042556</v>
      </c>
      <c r="CW53" s="31">
        <v>0.97070572569906788</v>
      </c>
      <c r="CX53" s="31">
        <v>0.96290950256987373</v>
      </c>
      <c r="CY53" s="31">
        <v>0.97233201581027673</v>
      </c>
      <c r="CZ53" s="31">
        <v>0.97236842105263155</v>
      </c>
      <c r="DA53" s="31">
        <v>0.96133333333333337</v>
      </c>
      <c r="DB53" s="31">
        <v>0.95681511470985159</v>
      </c>
      <c r="DC53" s="31">
        <v>0.96706192358366272</v>
      </c>
      <c r="DD53" s="31">
        <v>0.96569920844327173</v>
      </c>
      <c r="DE53" s="31">
        <v>0.97089947089947093</v>
      </c>
      <c r="DF53" s="31">
        <v>0.96664421254749977</v>
      </c>
      <c r="DG53" s="31">
        <v>0.96128170894526033</v>
      </c>
      <c r="DH53" s="31">
        <v>0.97039030955585459</v>
      </c>
      <c r="DI53" s="31">
        <v>0.96500672947510091</v>
      </c>
      <c r="DJ53" s="31">
        <v>0.96635262449528936</v>
      </c>
      <c r="DK53" s="31">
        <v>0.98100407055630934</v>
      </c>
      <c r="DL53" s="31">
        <v>0.96929238985313748</v>
      </c>
      <c r="DM53" s="31">
        <v>0.9773635153129161</v>
      </c>
      <c r="DN53" s="31">
        <v>0.97009876402769535</v>
      </c>
      <c r="DO53" s="31">
        <v>0.95454545454545459</v>
      </c>
      <c r="DP53" s="31">
        <v>0.97173620457604304</v>
      </c>
      <c r="DQ53" s="31">
        <v>0.93478260869565222</v>
      </c>
      <c r="DR53" s="31">
        <v>0.95148247978436662</v>
      </c>
      <c r="DS53" s="31">
        <v>0.96925133689839571</v>
      </c>
      <c r="DT53" s="31">
        <v>0.97101449275362317</v>
      </c>
      <c r="DU53" s="31">
        <v>0.9707446808510638</v>
      </c>
      <c r="DV53" s="31">
        <v>0.96050817972922842</v>
      </c>
      <c r="DW53" s="31">
        <v>0.94572591587516963</v>
      </c>
      <c r="DX53" s="31">
        <v>0.95681511470985159</v>
      </c>
      <c r="DY53" s="31">
        <v>0.96875</v>
      </c>
      <c r="DZ53" s="31">
        <v>0.96205962059620598</v>
      </c>
      <c r="EA53" s="31">
        <v>0.95392953929539293</v>
      </c>
      <c r="EB53" s="31">
        <v>0.95283018867924529</v>
      </c>
      <c r="EC53" s="31">
        <v>0.95940460081190804</v>
      </c>
      <c r="ED53" s="31">
        <v>0.95707356856682479</v>
      </c>
      <c r="EE53" s="31">
        <v>0.95663956639566394</v>
      </c>
      <c r="EF53" s="31">
        <v>0.97165991902834004</v>
      </c>
      <c r="EG53" s="31">
        <v>0.94986449864498645</v>
      </c>
      <c r="EH53" s="31">
        <v>0.94871794871794868</v>
      </c>
      <c r="EI53" s="31">
        <v>0.96500672947510091</v>
      </c>
      <c r="EJ53" s="31">
        <v>0.97304582210242585</v>
      </c>
      <c r="EK53" s="31">
        <v>0.97593582887700536</v>
      </c>
      <c r="EL53" s="31">
        <v>0.96298147332021033</v>
      </c>
    </row>
    <row r="54" spans="38:142" x14ac:dyDescent="0.35">
      <c r="AL54" s="19" t="s">
        <v>106</v>
      </c>
      <c r="AM54" s="31">
        <v>0.97437499999999999</v>
      </c>
      <c r="AN54" s="31">
        <v>0.97071651090342681</v>
      </c>
      <c r="AO54" s="31">
        <v>0.96437499999999998</v>
      </c>
      <c r="AP54" s="31">
        <v>0.94316052467208</v>
      </c>
      <c r="AQ54" s="31">
        <v>0.98186366479049403</v>
      </c>
      <c r="AR54" s="31">
        <v>0.97882938978829392</v>
      </c>
      <c r="AS54" s="31">
        <v>0.98129675810473815</v>
      </c>
      <c r="AT54" s="31">
        <v>0.97065954975129032</v>
      </c>
      <c r="AU54" s="31">
        <v>0.98312500000000003</v>
      </c>
      <c r="AV54" s="31">
        <v>0.9569019362898189</v>
      </c>
      <c r="AW54" s="31">
        <v>0.98380062305295946</v>
      </c>
      <c r="AX54" s="31">
        <v>0.98313554028732042</v>
      </c>
      <c r="AY54" s="31">
        <v>0.99318040917544947</v>
      </c>
      <c r="AZ54" s="31">
        <v>0.99067164179104472</v>
      </c>
      <c r="BA54" s="31">
        <v>0.998766954377312</v>
      </c>
      <c r="BB54" s="31">
        <v>0.98422601499627216</v>
      </c>
      <c r="BC54" s="31">
        <v>0.98659354052407067</v>
      </c>
      <c r="BD54" s="31">
        <v>0.99500935745477226</v>
      </c>
      <c r="BE54" s="31">
        <v>0.98516687268232384</v>
      </c>
      <c r="BF54" s="31">
        <v>0.95609152752009896</v>
      </c>
      <c r="BG54" s="31">
        <v>0.9919703520691785</v>
      </c>
      <c r="BH54" s="31">
        <v>0.99689440993788825</v>
      </c>
      <c r="BI54" s="31">
        <v>0.98883374689826298</v>
      </c>
      <c r="BJ54" s="31">
        <v>0.98579425815522803</v>
      </c>
      <c r="BK54" s="31">
        <v>0.90869565217391302</v>
      </c>
      <c r="BL54" s="31">
        <v>0.94867037724180581</v>
      </c>
      <c r="BM54" s="31">
        <v>0.81766561514195579</v>
      </c>
      <c r="BN54" s="31">
        <v>0.80037429819089212</v>
      </c>
      <c r="BO54" s="31">
        <v>0.92441140024783153</v>
      </c>
      <c r="BP54" s="31">
        <v>0.95471464019851116</v>
      </c>
      <c r="BQ54" s="31">
        <v>0.94527363184079605</v>
      </c>
      <c r="BR54" s="31">
        <v>0.89997223071938659</v>
      </c>
      <c r="BS54" s="31">
        <v>0.95596681557115504</v>
      </c>
      <c r="BT54" s="31">
        <v>0.83718028696194635</v>
      </c>
      <c r="BU54" s="31">
        <v>0.88531553398058249</v>
      </c>
      <c r="BV54" s="31">
        <v>0.89695121951219514</v>
      </c>
      <c r="BW54" s="31">
        <v>0.94278448823903371</v>
      </c>
      <c r="BX54" s="31">
        <v>0.86219739292364994</v>
      </c>
      <c r="BY54" s="31">
        <v>0.8938547486033519</v>
      </c>
      <c r="BZ54" s="31">
        <v>0.8963214979702735</v>
      </c>
      <c r="CA54" s="31">
        <v>0.91291810841983856</v>
      </c>
      <c r="CB54" s="31">
        <v>0.92317073170731712</v>
      </c>
      <c r="CC54" s="31">
        <v>0.89976689976689972</v>
      </c>
      <c r="CD54" s="31">
        <v>0.89092996555683124</v>
      </c>
      <c r="CE54" s="31">
        <v>0.98350641417226636</v>
      </c>
      <c r="CF54" s="31">
        <v>0.93810679611650483</v>
      </c>
      <c r="CG54" s="31">
        <v>0.98122350090854027</v>
      </c>
      <c r="CH54" s="31">
        <v>0.93280320237831404</v>
      </c>
      <c r="CI54" s="31">
        <v>0.91247782377291542</v>
      </c>
      <c r="CJ54" s="31">
        <v>0.89609644087256024</v>
      </c>
      <c r="CK54" s="31">
        <v>0.92617046818727489</v>
      </c>
      <c r="CL54" s="31">
        <v>0.87370838117106775</v>
      </c>
      <c r="CM54" s="31">
        <v>0.9254437869822485</v>
      </c>
      <c r="CN54" s="31">
        <v>0.93664890467732387</v>
      </c>
      <c r="CO54" s="31">
        <v>0.93846153846153846</v>
      </c>
      <c r="CP54" s="31">
        <v>0.91557247773213279</v>
      </c>
      <c r="CQ54" s="31">
        <v>0.96737160120845922</v>
      </c>
      <c r="CR54" s="31">
        <v>0.92995169082125606</v>
      </c>
      <c r="CS54" s="31">
        <v>0.95702885205647636</v>
      </c>
      <c r="CT54" s="31">
        <v>0.93265183403487673</v>
      </c>
      <c r="CU54" s="31">
        <v>0.98019801980198018</v>
      </c>
      <c r="CV54" s="31">
        <v>0.95072115384615385</v>
      </c>
      <c r="CW54" s="31">
        <v>0.98160637645616189</v>
      </c>
      <c r="CX54" s="31">
        <v>0.95707564688933766</v>
      </c>
      <c r="CY54" s="31">
        <v>0.99877149877149873</v>
      </c>
      <c r="CZ54" s="31">
        <v>0.95371498172959801</v>
      </c>
      <c r="DA54" s="31">
        <v>0.98280098280098283</v>
      </c>
      <c r="DB54" s="31">
        <v>0.95941853422168388</v>
      </c>
      <c r="DC54" s="31">
        <v>0.99511599511599513</v>
      </c>
      <c r="DD54" s="31">
        <v>0.99320987654320991</v>
      </c>
      <c r="DE54" s="31">
        <v>0.99255121042830541</v>
      </c>
      <c r="DF54" s="31">
        <v>0.982226154230182</v>
      </c>
      <c r="DG54" s="31">
        <v>0.97840431913617276</v>
      </c>
      <c r="DH54" s="31">
        <v>0.96682750301568154</v>
      </c>
      <c r="DI54" s="31">
        <v>0.97012195121951217</v>
      </c>
      <c r="DJ54" s="31">
        <v>0.94414086217364901</v>
      </c>
      <c r="DK54" s="31">
        <v>0.98021582733812951</v>
      </c>
      <c r="DL54" s="31">
        <v>1</v>
      </c>
      <c r="DM54" s="31">
        <v>1</v>
      </c>
      <c r="DN54" s="31">
        <v>0.97710149469759222</v>
      </c>
      <c r="DO54" s="31">
        <v>0.99463647199046479</v>
      </c>
      <c r="DP54" s="31">
        <v>0.95284159613059249</v>
      </c>
      <c r="DQ54" s="31">
        <v>0.98550724637681164</v>
      </c>
      <c r="DR54" s="31">
        <v>0.98302001212856271</v>
      </c>
      <c r="DS54" s="31">
        <v>0.98843578819233113</v>
      </c>
      <c r="DT54" s="31">
        <v>0.98358662613981762</v>
      </c>
      <c r="DU54" s="31">
        <v>0.99026763990267641</v>
      </c>
      <c r="DV54" s="31">
        <v>0.98261362583732237</v>
      </c>
      <c r="DW54" s="31">
        <v>1</v>
      </c>
      <c r="DX54" s="31">
        <v>0.96918429003021145</v>
      </c>
      <c r="DY54" s="31">
        <v>0.99173553719008267</v>
      </c>
      <c r="DZ54" s="31">
        <v>0.98745519713261654</v>
      </c>
      <c r="EA54" s="31">
        <v>0.99821109123434704</v>
      </c>
      <c r="EB54" s="31">
        <v>0.98304058146577833</v>
      </c>
      <c r="EC54" s="31">
        <v>0.9904591532498509</v>
      </c>
      <c r="ED54" s="31">
        <v>0.98858369290041248</v>
      </c>
      <c r="EE54" s="31">
        <v>0.99576783555018133</v>
      </c>
      <c r="EF54" s="31">
        <v>0.98322348711803476</v>
      </c>
      <c r="EG54" s="31">
        <v>0.98724954462659376</v>
      </c>
      <c r="EH54" s="31">
        <v>0.96149217809867626</v>
      </c>
      <c r="EI54" s="31">
        <v>0.9934756820877817</v>
      </c>
      <c r="EJ54" s="31">
        <v>0.99762187871581454</v>
      </c>
      <c r="EK54" s="31">
        <v>0.99880023995200962</v>
      </c>
      <c r="EL54" s="31">
        <v>0.98823297802129872</v>
      </c>
    </row>
    <row r="55" spans="38:142" x14ac:dyDescent="0.35">
      <c r="AL55" s="19" t="s">
        <v>107</v>
      </c>
      <c r="AM55" s="31">
        <v>0.97169811320754718</v>
      </c>
      <c r="AN55" s="31">
        <v>0.94958968347010553</v>
      </c>
      <c r="AO55" s="31">
        <v>0.95351609058402864</v>
      </c>
      <c r="AP55" s="31">
        <v>0.95518867924528306</v>
      </c>
      <c r="AQ55" s="31">
        <v>0.96856810244470315</v>
      </c>
      <c r="AR55" s="31">
        <v>0.98014888337468986</v>
      </c>
      <c r="AS55" s="31">
        <v>0.97802197802197799</v>
      </c>
      <c r="AT55" s="31">
        <v>0.96524736147833357</v>
      </c>
      <c r="AU55" s="31">
        <v>0.98448687350835318</v>
      </c>
      <c r="AV55" s="31">
        <v>0.99399038461538458</v>
      </c>
      <c r="AW55" s="31">
        <v>0.96261682242990654</v>
      </c>
      <c r="AX55" s="31">
        <v>0.96300448430493268</v>
      </c>
      <c r="AY55" s="31">
        <v>0.98358733880422045</v>
      </c>
      <c r="AZ55" s="31">
        <v>0.96859903381642509</v>
      </c>
      <c r="BA55" s="31">
        <v>0.96893667861409793</v>
      </c>
      <c r="BB55" s="31">
        <v>0.97503165944190273</v>
      </c>
      <c r="BC55" s="31">
        <v>0.95977011494252873</v>
      </c>
      <c r="BD55" s="31">
        <v>0.97872340425531912</v>
      </c>
      <c r="BE55" s="31">
        <v>0.95340909090909087</v>
      </c>
      <c r="BF55" s="31">
        <v>0.96111111111111114</v>
      </c>
      <c r="BG55" s="31">
        <v>0.97769953051643188</v>
      </c>
      <c r="BH55" s="31">
        <v>0.98566308243727596</v>
      </c>
      <c r="BI55" s="31">
        <v>0.9825174825174825</v>
      </c>
      <c r="BJ55" s="31">
        <v>0.97127054524132006</v>
      </c>
      <c r="BK55" s="31">
        <v>0.90974729241877261</v>
      </c>
      <c r="BL55" s="31">
        <v>0.97120708748615725</v>
      </c>
      <c r="BM55" s="31">
        <v>0.85334872979214782</v>
      </c>
      <c r="BN55" s="31">
        <v>0.86467889908256879</v>
      </c>
      <c r="BO55" s="31">
        <v>0.92196878751500599</v>
      </c>
      <c r="BP55" s="31">
        <v>0.97520661157024791</v>
      </c>
      <c r="BQ55" s="31">
        <v>0.94907407407407407</v>
      </c>
      <c r="BR55" s="31">
        <v>0.92074735456271062</v>
      </c>
      <c r="BS55" s="31">
        <v>0.96055684454756385</v>
      </c>
      <c r="BT55" s="31">
        <v>0.89359267734553771</v>
      </c>
      <c r="BU55" s="31">
        <v>0.93552168815943726</v>
      </c>
      <c r="BV55" s="31">
        <v>0.95798319327731096</v>
      </c>
      <c r="BW55" s="31">
        <v>0.97517730496453903</v>
      </c>
      <c r="BX55" s="31">
        <v>0.95865921787709496</v>
      </c>
      <c r="BY55" s="31">
        <v>0.94926719278466742</v>
      </c>
      <c r="BZ55" s="31">
        <v>0.94725115985087882</v>
      </c>
      <c r="CA55" s="31">
        <v>0.96069364161849713</v>
      </c>
      <c r="CB55" s="31">
        <v>0.97254004576659037</v>
      </c>
      <c r="CC55" s="31">
        <v>0.93470790378006874</v>
      </c>
      <c r="CD55" s="31">
        <v>0.94665153234960275</v>
      </c>
      <c r="CE55" s="31">
        <v>0.9754385964912281</v>
      </c>
      <c r="CF55" s="31">
        <v>0.97297297297297303</v>
      </c>
      <c r="CG55" s="31">
        <v>0.96245733788395904</v>
      </c>
      <c r="CH55" s="31">
        <v>0.96078029012327426</v>
      </c>
      <c r="CI55" s="31">
        <v>0.95701357466063353</v>
      </c>
      <c r="CJ55" s="31">
        <v>0.96983758700696054</v>
      </c>
      <c r="CK55" s="31">
        <v>0.9241071428571429</v>
      </c>
      <c r="CL55" s="31">
        <v>0.94646924829157175</v>
      </c>
      <c r="CM55" s="31">
        <v>0.92571428571428571</v>
      </c>
      <c r="CN55" s="31">
        <v>0.95080091533180777</v>
      </c>
      <c r="CO55" s="31">
        <v>0.95847750865051906</v>
      </c>
      <c r="CP55" s="31">
        <v>0.94748860893041742</v>
      </c>
      <c r="CQ55" s="31">
        <v>0.95691609977324266</v>
      </c>
      <c r="CR55" s="31">
        <v>0.97159090909090906</v>
      </c>
      <c r="CS55" s="31">
        <v>0.91176470588235292</v>
      </c>
      <c r="CT55" s="31">
        <v>0.93038674033149171</v>
      </c>
      <c r="CU55" s="31">
        <v>0.97199533255542592</v>
      </c>
      <c r="CV55" s="31">
        <v>0.95496535796766746</v>
      </c>
      <c r="CW55" s="31">
        <v>0.97011494252873565</v>
      </c>
      <c r="CX55" s="31">
        <v>0.95253344116140359</v>
      </c>
      <c r="CY55" s="31">
        <v>0.94226327944572752</v>
      </c>
      <c r="CZ55" s="31">
        <v>0.9655963302752294</v>
      </c>
      <c r="DA55" s="31">
        <v>0.95652173913043481</v>
      </c>
      <c r="DB55" s="31">
        <v>0.95953757225433522</v>
      </c>
      <c r="DC55" s="31">
        <v>0.95135746606334837</v>
      </c>
      <c r="DD55" s="31">
        <v>0.97133027522935778</v>
      </c>
      <c r="DE55" s="31">
        <v>0.97602739726027399</v>
      </c>
      <c r="DF55" s="31">
        <v>0.96037629423695825</v>
      </c>
      <c r="DG55" s="31">
        <v>0.96818181818181814</v>
      </c>
      <c r="DH55" s="31">
        <v>0.9476614699331849</v>
      </c>
      <c r="DI55" s="31">
        <v>0.93541202672605794</v>
      </c>
      <c r="DJ55" s="31">
        <v>0.95525727069351229</v>
      </c>
      <c r="DK55" s="31">
        <v>0.96337402885682577</v>
      </c>
      <c r="DL55" s="31">
        <v>0.95860566448801743</v>
      </c>
      <c r="DM55" s="31">
        <v>0.96799116997792489</v>
      </c>
      <c r="DN55" s="31">
        <v>0.95664049269390605</v>
      </c>
      <c r="DO55" s="31">
        <v>0.944254835039818</v>
      </c>
      <c r="DP55" s="31">
        <v>0.96395348837209305</v>
      </c>
      <c r="DQ55" s="31">
        <v>0.93204983012457532</v>
      </c>
      <c r="DR55" s="31">
        <v>0.94903737259343146</v>
      </c>
      <c r="DS55" s="31">
        <v>0.96632996632996637</v>
      </c>
      <c r="DT55" s="31">
        <v>0.98045977011494256</v>
      </c>
      <c r="DU55" s="31">
        <v>0.96351197263397947</v>
      </c>
      <c r="DV55" s="31">
        <v>0.95708531931554375</v>
      </c>
      <c r="DW55" s="31">
        <v>0.92625698324022343</v>
      </c>
      <c r="DX55" s="31">
        <v>0.94742729306487694</v>
      </c>
      <c r="DY55" s="31">
        <v>0.92596685082872932</v>
      </c>
      <c r="DZ55" s="31">
        <v>0.91897891231964479</v>
      </c>
      <c r="EA55" s="31">
        <v>0.95583238958097394</v>
      </c>
      <c r="EB55" s="31">
        <v>0.97266514806378135</v>
      </c>
      <c r="EC55" s="31">
        <v>0.97250859106529208</v>
      </c>
      <c r="ED55" s="31">
        <v>0.94566230973764598</v>
      </c>
      <c r="EE55" s="31">
        <v>0.91915836101882609</v>
      </c>
      <c r="EF55" s="31">
        <v>0.94184720638540476</v>
      </c>
      <c r="EG55" s="31">
        <v>0.92680180180180183</v>
      </c>
      <c r="EH55" s="31">
        <v>0.94942528735632181</v>
      </c>
      <c r="EI55" s="31">
        <v>0.93673695893451725</v>
      </c>
      <c r="EJ55" s="31">
        <v>0.94</v>
      </c>
      <c r="EK55" s="31">
        <v>0.92469545957918053</v>
      </c>
      <c r="EL55" s="31">
        <v>0.93409501072515033</v>
      </c>
    </row>
    <row r="56" spans="38:142" x14ac:dyDescent="0.35">
      <c r="AL56" s="19" t="s">
        <v>256</v>
      </c>
      <c r="AM56" s="31">
        <v>0.93041871921182262</v>
      </c>
      <c r="AN56" s="31">
        <v>0.9149198520345253</v>
      </c>
      <c r="AO56" s="31">
        <v>0.90171990171990168</v>
      </c>
      <c r="AP56" s="31">
        <v>0.89532019704433496</v>
      </c>
      <c r="AQ56" s="31">
        <v>0.93460826650215911</v>
      </c>
      <c r="AR56" s="31">
        <v>0.91992551210428308</v>
      </c>
      <c r="AS56" s="31">
        <v>0.92962962962962958</v>
      </c>
      <c r="AT56" s="31">
        <v>0.91807743974952227</v>
      </c>
      <c r="AU56" s="31">
        <v>0.94499381953028427</v>
      </c>
      <c r="AV56" s="31">
        <v>0.92742927429274291</v>
      </c>
      <c r="AW56" s="31">
        <v>0.92002479851208929</v>
      </c>
      <c r="AX56" s="31">
        <v>0.90532178217821779</v>
      </c>
      <c r="AY56" s="31">
        <v>0.94740061162079514</v>
      </c>
      <c r="AZ56" s="31">
        <v>0.94594594594594594</v>
      </c>
      <c r="BA56" s="31">
        <v>0.94662576687116562</v>
      </c>
      <c r="BB56" s="31">
        <v>0.93396314270732017</v>
      </c>
      <c r="BC56" s="31">
        <v>0.93239951278928135</v>
      </c>
      <c r="BD56" s="31">
        <v>0.92503097893432462</v>
      </c>
      <c r="BE56" s="31">
        <v>0.87929993964996978</v>
      </c>
      <c r="BF56" s="31">
        <v>0.86021505376344087</v>
      </c>
      <c r="BG56" s="31">
        <v>0.94320987654320987</v>
      </c>
      <c r="BH56" s="31">
        <v>0.93432465923172248</v>
      </c>
      <c r="BI56" s="31">
        <v>0.94925742574257421</v>
      </c>
      <c r="BJ56" s="31">
        <v>0.91767677809350334</v>
      </c>
      <c r="BK56" s="31">
        <v>0.82976040353089531</v>
      </c>
      <c r="BL56" s="31">
        <v>0.88649940262843485</v>
      </c>
      <c r="BM56" s="31">
        <v>0.75747724317295184</v>
      </c>
      <c r="BN56" s="31">
        <v>0.77799607072691557</v>
      </c>
      <c r="BO56" s="31">
        <v>0.89187499999999997</v>
      </c>
      <c r="BP56" s="31">
        <v>0.89864864864864868</v>
      </c>
      <c r="BQ56" s="31">
        <v>0.91952588895820342</v>
      </c>
      <c r="BR56" s="31">
        <v>0.85168323680943558</v>
      </c>
      <c r="BS56" s="31">
        <v>0.88881748071979438</v>
      </c>
      <c r="BT56" s="31">
        <v>0.79394719896973598</v>
      </c>
      <c r="BU56" s="31">
        <v>0.86348791639451339</v>
      </c>
      <c r="BV56" s="31">
        <v>0.87606001304631442</v>
      </c>
      <c r="BW56" s="31">
        <v>0.87259923175416132</v>
      </c>
      <c r="BX56" s="31">
        <v>0.83128636069812545</v>
      </c>
      <c r="BY56" s="31">
        <v>0.86696658097686374</v>
      </c>
      <c r="BZ56" s="31">
        <v>0.8561663975085011</v>
      </c>
      <c r="CA56" s="31">
        <v>0.93472750316856779</v>
      </c>
      <c r="CB56" s="31">
        <v>0.88989637305699487</v>
      </c>
      <c r="CC56" s="31">
        <v>0.8984326018808777</v>
      </c>
      <c r="CD56" s="31">
        <v>0.90169067000626169</v>
      </c>
      <c r="CE56" s="31">
        <v>0.94188250157927988</v>
      </c>
      <c r="CF56" s="31">
        <v>0.91526520051746441</v>
      </c>
      <c r="CG56" s="31">
        <v>0.93467011642949549</v>
      </c>
      <c r="CH56" s="31">
        <v>0.91665213809127732</v>
      </c>
      <c r="CI56" s="31">
        <v>0.9623655913978495</v>
      </c>
      <c r="CJ56" s="31">
        <v>0.90401505646173153</v>
      </c>
      <c r="CK56" s="31">
        <v>0.9577373211963589</v>
      </c>
      <c r="CL56" s="31">
        <v>0.95472186287192751</v>
      </c>
      <c r="CM56" s="31">
        <v>0.91650732950924152</v>
      </c>
      <c r="CN56" s="31">
        <v>0.96049222797927458</v>
      </c>
      <c r="CO56" s="31">
        <v>0.93059125964010281</v>
      </c>
      <c r="CP56" s="31">
        <v>0.94091866415092673</v>
      </c>
      <c r="CQ56" s="31">
        <v>0.91354838709677422</v>
      </c>
      <c r="CR56" s="31">
        <v>0.97501601537475979</v>
      </c>
      <c r="CS56" s="31">
        <v>0.89018843404808312</v>
      </c>
      <c r="CT56" s="31">
        <v>0.93112410656270306</v>
      </c>
      <c r="CU56" s="31">
        <v>0.92401802962009016</v>
      </c>
      <c r="CV56" s="31">
        <v>0.967741935483871</v>
      </c>
      <c r="CW56" s="31">
        <v>0.93354838709677423</v>
      </c>
      <c r="CX56" s="31">
        <v>0.93359789932615089</v>
      </c>
      <c r="CY56" s="31">
        <v>0.89659520807061788</v>
      </c>
      <c r="CZ56" s="31">
        <v>0.91085271317829453</v>
      </c>
      <c r="DA56" s="31">
        <v>0.89315419065898916</v>
      </c>
      <c r="DB56" s="31">
        <v>0.91017173051519151</v>
      </c>
      <c r="DC56" s="31">
        <v>0.91581632653061229</v>
      </c>
      <c r="DD56" s="31">
        <v>0.90460947503201028</v>
      </c>
      <c r="DE56" s="31">
        <v>0.89537869062901154</v>
      </c>
      <c r="DF56" s="31">
        <v>0.9037969049449609</v>
      </c>
      <c r="DG56" s="31">
        <v>0.92156862745098034</v>
      </c>
      <c r="DH56" s="31">
        <v>0.91708860759493671</v>
      </c>
      <c r="DI56" s="31">
        <v>0.89683544303797469</v>
      </c>
      <c r="DJ56" s="31">
        <v>0.90897517504774028</v>
      </c>
      <c r="DK56" s="31">
        <v>0.90977917981072554</v>
      </c>
      <c r="DL56" s="31">
        <v>0.90972222222222221</v>
      </c>
      <c r="DM56" s="31">
        <v>0.90658989123480482</v>
      </c>
      <c r="DN56" s="31">
        <v>0.91007987805705504</v>
      </c>
      <c r="DO56" s="31">
        <v>0.91682419659735348</v>
      </c>
      <c r="DP56" s="31">
        <v>0.91461100569259957</v>
      </c>
      <c r="DQ56" s="31">
        <v>0.95332480818414322</v>
      </c>
      <c r="DR56" s="31">
        <v>0.90658989123480482</v>
      </c>
      <c r="DS56" s="31">
        <v>0.92254408060453397</v>
      </c>
      <c r="DT56" s="31">
        <v>0.92007551919446195</v>
      </c>
      <c r="DU56" s="31">
        <v>0.9134554643082754</v>
      </c>
      <c r="DV56" s="31">
        <v>0.92106070940231022</v>
      </c>
      <c r="DW56" s="31">
        <v>0.91529709228824274</v>
      </c>
      <c r="DX56" s="31">
        <v>0.91831525207402676</v>
      </c>
      <c r="DY56" s="31">
        <v>0.96460176991150437</v>
      </c>
      <c r="DZ56" s="31">
        <v>0.90434235368156068</v>
      </c>
      <c r="EA56" s="31">
        <v>0.90353089533417408</v>
      </c>
      <c r="EB56" s="31">
        <v>0.9178866963717377</v>
      </c>
      <c r="EC56" s="31">
        <v>0.91252359974826935</v>
      </c>
      <c r="ED56" s="31">
        <v>0.91949966562993068</v>
      </c>
      <c r="EE56" s="31">
        <v>0.90484960098219769</v>
      </c>
      <c r="EF56" s="31">
        <v>0.92249527410207943</v>
      </c>
      <c r="EG56" s="31">
        <v>0.89619164619164615</v>
      </c>
      <c r="EH56" s="31">
        <v>0.88998156115550087</v>
      </c>
      <c r="EI56" s="31">
        <v>0.91191066997518611</v>
      </c>
      <c r="EJ56" s="31">
        <v>0.89772027110289587</v>
      </c>
      <c r="EK56" s="31">
        <v>0.91201982651796776</v>
      </c>
      <c r="EL56" s="31">
        <v>0.90502412143249622</v>
      </c>
    </row>
    <row r="57" spans="38:142" x14ac:dyDescent="0.35">
      <c r="AL57" s="19" t="s">
        <v>215</v>
      </c>
      <c r="AM57" s="31">
        <v>0.97626752966558794</v>
      </c>
      <c r="AN57" s="31">
        <v>0.96061269146608319</v>
      </c>
      <c r="AO57" s="31">
        <v>0.96544276457883371</v>
      </c>
      <c r="AP57" s="31">
        <v>0.97279651795429811</v>
      </c>
      <c r="AQ57" s="31">
        <v>0.99024918743228607</v>
      </c>
      <c r="AR57" s="31">
        <v>0.98687089715536103</v>
      </c>
      <c r="AS57" s="31">
        <v>0.98808234019501628</v>
      </c>
      <c r="AT57" s="31">
        <v>0.97718884692106656</v>
      </c>
      <c r="AU57" s="31">
        <v>0.99017467248908297</v>
      </c>
      <c r="AV57" s="31">
        <v>0.97382769901853872</v>
      </c>
      <c r="AW57" s="31">
        <v>0.96717724288840268</v>
      </c>
      <c r="AX57" s="31">
        <v>0.96706915477497257</v>
      </c>
      <c r="AY57" s="31">
        <v>0.98799126637554591</v>
      </c>
      <c r="AZ57" s="31">
        <v>0.98801742919389979</v>
      </c>
      <c r="BA57" s="31">
        <v>0.99123767798466589</v>
      </c>
      <c r="BB57" s="31">
        <v>0.98078502038930115</v>
      </c>
      <c r="BC57" s="31">
        <v>0.97760358342665177</v>
      </c>
      <c r="BD57" s="31">
        <v>0.97585071350164654</v>
      </c>
      <c r="BE57" s="31">
        <v>0.96670366259711427</v>
      </c>
      <c r="BF57" s="31">
        <v>0.92273236282194848</v>
      </c>
      <c r="BG57" s="31">
        <v>0.97775305895439379</v>
      </c>
      <c r="BH57" s="31">
        <v>0.97158469945355186</v>
      </c>
      <c r="BI57" s="31">
        <v>0.97780244173140951</v>
      </c>
      <c r="BJ57" s="31">
        <v>0.96714721749810217</v>
      </c>
      <c r="BK57" s="31">
        <v>0.8908489525909592</v>
      </c>
      <c r="BL57" s="31">
        <v>0.92680180180180183</v>
      </c>
      <c r="BM57" s="31">
        <v>0.87858719646799122</v>
      </c>
      <c r="BN57" s="31">
        <v>0.7651006711409396</v>
      </c>
      <c r="BO57" s="31">
        <v>0.93164277839029763</v>
      </c>
      <c r="BP57" s="31">
        <v>0.95804988662131518</v>
      </c>
      <c r="BQ57" s="31">
        <v>0.94314381270903014</v>
      </c>
      <c r="BR57" s="31">
        <v>0.89916787138890508</v>
      </c>
      <c r="BS57" s="31">
        <v>0.94591611479028692</v>
      </c>
      <c r="BT57" s="31">
        <v>0.79598662207357862</v>
      </c>
      <c r="BU57" s="31">
        <v>0.93922651933701662</v>
      </c>
      <c r="BV57" s="31">
        <v>0.89723756906077345</v>
      </c>
      <c r="BW57" s="31">
        <v>0.92580287929125138</v>
      </c>
      <c r="BX57" s="31">
        <v>0.82099447513812152</v>
      </c>
      <c r="BY57" s="31">
        <v>0.91222222222222227</v>
      </c>
      <c r="BZ57" s="31">
        <v>0.89105520027332152</v>
      </c>
      <c r="CA57" s="31">
        <v>0.92538975501113585</v>
      </c>
      <c r="CB57" s="31">
        <v>0.90545050055617349</v>
      </c>
      <c r="CC57" s="31">
        <v>0.94618834080717484</v>
      </c>
      <c r="CD57" s="31">
        <v>0.93847874720357938</v>
      </c>
      <c r="CE57" s="31">
        <v>0.93252212389380529</v>
      </c>
      <c r="CF57" s="31">
        <v>0.9228224917309813</v>
      </c>
      <c r="CG57" s="31">
        <v>0.94052863436123346</v>
      </c>
      <c r="CH57" s="31">
        <v>0.93019722765201196</v>
      </c>
      <c r="CI57" s="31">
        <v>0.92693565976008729</v>
      </c>
      <c r="CJ57" s="31">
        <v>0.9588888888888889</v>
      </c>
      <c r="CK57" s="31">
        <v>0.90652173913043477</v>
      </c>
      <c r="CL57" s="31">
        <v>0.88648648648648654</v>
      </c>
      <c r="CM57" s="31">
        <v>0.94911504424778759</v>
      </c>
      <c r="CN57" s="31">
        <v>0.96452328159645229</v>
      </c>
      <c r="CO57" s="31">
        <v>0.97255762897914377</v>
      </c>
      <c r="CP57" s="31">
        <v>0.93786124701275442</v>
      </c>
      <c r="CQ57" s="31">
        <v>0.93669527896995708</v>
      </c>
      <c r="CR57" s="31">
        <v>0.88648648648648654</v>
      </c>
      <c r="CS57" s="31">
        <v>0.94420600858369097</v>
      </c>
      <c r="CT57" s="31">
        <v>0.91819160387513454</v>
      </c>
      <c r="CU57" s="31">
        <v>0.9568965517241379</v>
      </c>
      <c r="CV57" s="31">
        <v>0.90800865800865804</v>
      </c>
      <c r="CW57" s="31">
        <v>0.92349137931034486</v>
      </c>
      <c r="CX57" s="31">
        <v>0.92485370956548707</v>
      </c>
      <c r="CY57" s="31">
        <v>0.93496801705756927</v>
      </c>
      <c r="CZ57" s="31">
        <v>0.91443850267379678</v>
      </c>
      <c r="DA57" s="31">
        <v>0.93114406779661019</v>
      </c>
      <c r="DB57" s="31">
        <v>0.91290322580645167</v>
      </c>
      <c r="DC57" s="31">
        <v>0.95665961945031708</v>
      </c>
      <c r="DD57" s="31">
        <v>0.93411264612114775</v>
      </c>
      <c r="DE57" s="31">
        <v>0.95005313496280552</v>
      </c>
      <c r="DF57" s="31">
        <v>0.9334684591240997</v>
      </c>
      <c r="DG57" s="31">
        <v>0.95824411134903642</v>
      </c>
      <c r="DH57" s="31">
        <v>0.93447905477980664</v>
      </c>
      <c r="DI57" s="31">
        <v>0.96340150699677074</v>
      </c>
      <c r="DJ57" s="31">
        <v>0.92456896551724133</v>
      </c>
      <c r="DK57" s="31">
        <v>0.9733475479744137</v>
      </c>
      <c r="DL57" s="31">
        <v>0.95833333333333337</v>
      </c>
      <c r="DM57" s="31">
        <v>0.97435897435897434</v>
      </c>
      <c r="DN57" s="31">
        <v>0.95524764204422519</v>
      </c>
      <c r="DO57" s="31">
        <v>0.95685005393743261</v>
      </c>
      <c r="DP57" s="31">
        <v>0.95909580193756727</v>
      </c>
      <c r="DQ57" s="31">
        <v>0.9642857142857143</v>
      </c>
      <c r="DR57" s="31">
        <v>0.94983642311886585</v>
      </c>
      <c r="DS57" s="31">
        <v>0.96566523605150212</v>
      </c>
      <c r="DT57" s="31">
        <v>0.95488721804511278</v>
      </c>
      <c r="DU57" s="31">
        <v>0.97424892703862664</v>
      </c>
      <c r="DV57" s="31">
        <v>0.96069562491640315</v>
      </c>
      <c r="DW57" s="31">
        <v>0.94169416941694173</v>
      </c>
      <c r="DX57" s="31">
        <v>0.96108108108108103</v>
      </c>
      <c r="DY57" s="31">
        <v>0.9668141592920354</v>
      </c>
      <c r="DZ57" s="31">
        <v>0.93756727664155004</v>
      </c>
      <c r="EA57" s="31">
        <v>0.97039473684210531</v>
      </c>
      <c r="EB57" s="31">
        <v>0.96645021645021645</v>
      </c>
      <c r="EC57" s="31">
        <v>0.96753246753246758</v>
      </c>
      <c r="ED57" s="31">
        <v>0.958790586750914</v>
      </c>
      <c r="EE57" s="31">
        <v>0.94426580921757775</v>
      </c>
      <c r="EF57" s="31">
        <v>0.93225806451612903</v>
      </c>
      <c r="EG57" s="31">
        <v>0.94600431965442766</v>
      </c>
      <c r="EH57" s="31">
        <v>0.90378378378378377</v>
      </c>
      <c r="EI57" s="31">
        <v>0.94218415417558887</v>
      </c>
      <c r="EJ57" s="31">
        <v>0.94989339019189767</v>
      </c>
      <c r="EK57" s="31">
        <v>0.9604700854700855</v>
      </c>
      <c r="EL57" s="31">
        <v>0.93983708671564148</v>
      </c>
    </row>
    <row r="58" spans="38:142" x14ac:dyDescent="0.35">
      <c r="AL58" s="19" t="s">
        <v>108</v>
      </c>
      <c r="AM58" s="31">
        <v>0.90753911806543386</v>
      </c>
      <c r="AN58" s="31">
        <v>0.90743338008415142</v>
      </c>
      <c r="AO58" s="31">
        <v>0.90753911806543386</v>
      </c>
      <c r="AP58" s="31">
        <v>0.90753911806543386</v>
      </c>
      <c r="AQ58" s="31">
        <v>0.92686357243319273</v>
      </c>
      <c r="AR58" s="31">
        <v>0.9199438202247191</v>
      </c>
      <c r="AS58" s="31">
        <v>0.92112676056338028</v>
      </c>
      <c r="AT58" s="31">
        <v>0.91399784107167803</v>
      </c>
      <c r="AU58" s="31">
        <v>0.94767441860465118</v>
      </c>
      <c r="AV58" s="31">
        <v>0.9368723098995696</v>
      </c>
      <c r="AW58" s="31">
        <v>0.94109195402298851</v>
      </c>
      <c r="AX58" s="31">
        <v>0.95338983050847459</v>
      </c>
      <c r="AY58" s="31">
        <v>0.95494186046511631</v>
      </c>
      <c r="AZ58" s="31">
        <v>0.93839541547277938</v>
      </c>
      <c r="BA58" s="31">
        <v>0.9457917261055635</v>
      </c>
      <c r="BB58" s="31">
        <v>0.94545107358273484</v>
      </c>
      <c r="BC58" s="31">
        <v>0.93188405797101448</v>
      </c>
      <c r="BD58" s="31">
        <v>0.94219653179190754</v>
      </c>
      <c r="BE58" s="31">
        <v>0.92608695652173911</v>
      </c>
      <c r="BF58" s="31">
        <v>0.92285298398835514</v>
      </c>
      <c r="BG58" s="31">
        <v>0.942008486562942</v>
      </c>
      <c r="BH58" s="31">
        <v>0.94721825962910133</v>
      </c>
      <c r="BI58" s="31">
        <v>0.94396551724137934</v>
      </c>
      <c r="BJ58" s="31">
        <v>0.93660182767234856</v>
      </c>
      <c r="BK58" s="31">
        <v>0.91428571428571426</v>
      </c>
      <c r="BL58" s="31">
        <v>0.92964071856287422</v>
      </c>
      <c r="BM58" s="31">
        <v>0.81654135338345868</v>
      </c>
      <c r="BN58" s="31">
        <v>0.86295180722891562</v>
      </c>
      <c r="BO58" s="31">
        <v>0.921092564491654</v>
      </c>
      <c r="BP58" s="31">
        <v>0.93273542600896864</v>
      </c>
      <c r="BQ58" s="31">
        <v>0.9263157894736842</v>
      </c>
      <c r="BR58" s="31">
        <v>0.90050905334789566</v>
      </c>
      <c r="BS58" s="31">
        <v>0.92560801144492133</v>
      </c>
      <c r="BT58" s="31">
        <v>0.88821752265861031</v>
      </c>
      <c r="BU58" s="31">
        <v>0.90144927536231889</v>
      </c>
      <c r="BV58" s="31">
        <v>0.91329479768786126</v>
      </c>
      <c r="BW58" s="31">
        <v>0.92560801144492133</v>
      </c>
      <c r="BX58" s="31">
        <v>0.90881913303437967</v>
      </c>
      <c r="BY58" s="31">
        <v>0.92753623188405798</v>
      </c>
      <c r="BZ58" s="31">
        <v>0.91293328335958146</v>
      </c>
      <c r="CA58" s="31">
        <v>0.92202462380300954</v>
      </c>
      <c r="CB58" s="31">
        <v>0.94066570188133136</v>
      </c>
      <c r="CC58" s="31">
        <v>0.90809327846364885</v>
      </c>
      <c r="CD58" s="31">
        <v>0.92886456908344728</v>
      </c>
      <c r="CE58" s="31">
        <v>0.925414364640884</v>
      </c>
      <c r="CF58" s="31">
        <v>0.93860845839017737</v>
      </c>
      <c r="CG58" s="31">
        <v>0.94829931972789117</v>
      </c>
      <c r="CH58" s="31">
        <v>0.9302814737129127</v>
      </c>
      <c r="CI58" s="31">
        <v>0.90042674253200572</v>
      </c>
      <c r="CJ58" s="31">
        <v>0.92116182572614103</v>
      </c>
      <c r="CK58" s="31">
        <v>0.88841201716738194</v>
      </c>
      <c r="CL58" s="31">
        <v>0.91845493562231761</v>
      </c>
      <c r="CM58" s="31">
        <v>0.92460881934566141</v>
      </c>
      <c r="CN58" s="31">
        <v>0.92170329670329665</v>
      </c>
      <c r="CO58" s="31">
        <v>0.92458100558659218</v>
      </c>
      <c r="CP58" s="31">
        <v>0.91419266324048531</v>
      </c>
      <c r="CQ58" s="31">
        <v>0.91051136363636365</v>
      </c>
      <c r="CR58" s="31">
        <v>0.91535150645624108</v>
      </c>
      <c r="CS58" s="31">
        <v>0.91260744985673348</v>
      </c>
      <c r="CT58" s="31">
        <v>0.90701001430615169</v>
      </c>
      <c r="CU58" s="31">
        <v>0.89958158995815896</v>
      </c>
      <c r="CV58" s="31">
        <v>0.91726105563480742</v>
      </c>
      <c r="CW58" s="31">
        <v>0.92551724137931035</v>
      </c>
      <c r="CX58" s="31">
        <v>0.91254860303253804</v>
      </c>
      <c r="CY58" s="31">
        <v>0.9353932584269663</v>
      </c>
      <c r="CZ58" s="31">
        <v>0.92969870875179339</v>
      </c>
      <c r="DA58" s="31">
        <v>0.91255289139633289</v>
      </c>
      <c r="DB58" s="31">
        <v>0.93267882187938289</v>
      </c>
      <c r="DC58" s="31">
        <v>0.93098591549295773</v>
      </c>
      <c r="DD58" s="31">
        <v>0.92816901408450703</v>
      </c>
      <c r="DE58" s="31">
        <v>0.93914246196403872</v>
      </c>
      <c r="DF58" s="31">
        <v>0.92980301028513979</v>
      </c>
      <c r="DG58" s="31">
        <v>0.95782312925170066</v>
      </c>
      <c r="DH58" s="31">
        <v>0.93162393162393164</v>
      </c>
      <c r="DI58" s="31">
        <v>0.89489051094890515</v>
      </c>
      <c r="DJ58" s="31">
        <v>0.94352617079889811</v>
      </c>
      <c r="DK58" s="31">
        <v>0.94383561643835612</v>
      </c>
      <c r="DL58" s="31">
        <v>0.93888888888888888</v>
      </c>
      <c r="DM58" s="31">
        <v>0.92747559274755931</v>
      </c>
      <c r="DN58" s="31">
        <v>0.93400912009974857</v>
      </c>
      <c r="DO58" s="31">
        <v>0.948509485094851</v>
      </c>
      <c r="DP58" s="31">
        <v>0.93885869565217395</v>
      </c>
      <c r="DQ58" s="31">
        <v>0.93296853625170995</v>
      </c>
      <c r="DR58" s="31">
        <v>0.92349726775956287</v>
      </c>
      <c r="DS58" s="31">
        <v>0.92360163710777621</v>
      </c>
      <c r="DT58" s="31">
        <v>0.93766937669376693</v>
      </c>
      <c r="DU58" s="31">
        <v>0.94436906377204888</v>
      </c>
      <c r="DV58" s="31">
        <v>0.93563915176169865</v>
      </c>
      <c r="DW58" s="31">
        <v>0.92603129445234711</v>
      </c>
      <c r="DX58" s="31">
        <v>0.92243767313019387</v>
      </c>
      <c r="DY58" s="31">
        <v>0.92907801418439717</v>
      </c>
      <c r="DZ58" s="31">
        <v>0.94042553191489364</v>
      </c>
      <c r="EA58" s="31">
        <v>0.93935119887165019</v>
      </c>
      <c r="EB58" s="31">
        <v>0.93435754189944131</v>
      </c>
      <c r="EC58" s="31">
        <v>0.93360995850622408</v>
      </c>
      <c r="ED58" s="31">
        <v>0.93218445899416391</v>
      </c>
      <c r="EE58" s="31">
        <v>0.93415637860082301</v>
      </c>
      <c r="EF58" s="31">
        <v>0.93914246196403872</v>
      </c>
      <c r="EG58" s="31">
        <v>0.91769547325102885</v>
      </c>
      <c r="EH58" s="31">
        <v>0.91769547325102885</v>
      </c>
      <c r="EI58" s="31">
        <v>0.9397260273972603</v>
      </c>
      <c r="EJ58" s="31">
        <v>0.94993234100135315</v>
      </c>
      <c r="EK58" s="31">
        <v>0.94214876033057848</v>
      </c>
      <c r="EL58" s="31">
        <v>0.93435670225658729</v>
      </c>
    </row>
    <row r="59" spans="38:142" x14ac:dyDescent="0.35">
      <c r="AL59" s="19" t="s">
        <v>109</v>
      </c>
      <c r="AM59" s="31">
        <v>0.89132379248658322</v>
      </c>
      <c r="AN59" s="31">
        <v>0.91432456935630102</v>
      </c>
      <c r="AO59" s="31">
        <v>0.87281683833407975</v>
      </c>
      <c r="AP59" s="31">
        <v>0.87505597850425432</v>
      </c>
      <c r="AQ59" s="31">
        <v>0.88680089485458613</v>
      </c>
      <c r="AR59" s="31">
        <v>0.91353046594982079</v>
      </c>
      <c r="AS59" s="31">
        <v>0.91879766711529831</v>
      </c>
      <c r="AT59" s="31">
        <v>0.89609288665727471</v>
      </c>
      <c r="AU59" s="31">
        <v>0.89861545332737824</v>
      </c>
      <c r="AV59" s="31">
        <v>0.88750555802578923</v>
      </c>
      <c r="AW59" s="31">
        <v>0.89449954914337237</v>
      </c>
      <c r="AX59" s="31">
        <v>0.8890386343216532</v>
      </c>
      <c r="AY59" s="31">
        <v>0.90285204991087342</v>
      </c>
      <c r="AZ59" s="31">
        <v>0.90459206419973248</v>
      </c>
      <c r="BA59" s="31">
        <v>0.8970976253298153</v>
      </c>
      <c r="BB59" s="31">
        <v>0.89631441917980204</v>
      </c>
      <c r="BC59" s="31">
        <v>0.90660080826223621</v>
      </c>
      <c r="BD59" s="31">
        <v>0.91459074733096091</v>
      </c>
      <c r="BE59" s="31">
        <v>0.88743809095002246</v>
      </c>
      <c r="BF59" s="31">
        <v>0.88340807174887892</v>
      </c>
      <c r="BG59" s="31">
        <v>0.91048133153396316</v>
      </c>
      <c r="BH59" s="31">
        <v>0.92160356347438754</v>
      </c>
      <c r="BI59" s="31">
        <v>0.91246092005359536</v>
      </c>
      <c r="BJ59" s="31">
        <v>0.90522621905057765</v>
      </c>
      <c r="BK59" s="31">
        <v>0.81469500924214422</v>
      </c>
      <c r="BL59" s="31">
        <v>0.90357627885921232</v>
      </c>
      <c r="BM59" s="31">
        <v>0.76103286384976521</v>
      </c>
      <c r="BN59" s="31">
        <v>0.74825500232666353</v>
      </c>
      <c r="BO59" s="31">
        <v>0.82956600361663657</v>
      </c>
      <c r="BP59" s="31">
        <v>0.88933691756272404</v>
      </c>
      <c r="BQ59" s="31">
        <v>0.86723290120697361</v>
      </c>
      <c r="BR59" s="31">
        <v>0.83052785380915994</v>
      </c>
      <c r="BS59" s="31">
        <v>0.86920980926430513</v>
      </c>
      <c r="BT59" s="31">
        <v>0.77482517482517488</v>
      </c>
      <c r="BU59" s="31">
        <v>0.85411020776874436</v>
      </c>
      <c r="BV59" s="31">
        <v>0.86131386861313863</v>
      </c>
      <c r="BW59" s="31">
        <v>0.85812043795620441</v>
      </c>
      <c r="BX59" s="31">
        <v>0.80545286506469504</v>
      </c>
      <c r="BY59" s="31">
        <v>0.8415025194686212</v>
      </c>
      <c r="BZ59" s="31">
        <v>0.83779069756584046</v>
      </c>
      <c r="CA59" s="31">
        <v>0.88288697231048574</v>
      </c>
      <c r="CB59" s="31">
        <v>0.86390265885534023</v>
      </c>
      <c r="CC59" s="31">
        <v>0.87756966651439017</v>
      </c>
      <c r="CD59" s="31">
        <v>0.87266939517962705</v>
      </c>
      <c r="CE59" s="31">
        <v>0.87759710930442636</v>
      </c>
      <c r="CF59" s="31">
        <v>0.89329685362517097</v>
      </c>
      <c r="CG59" s="31">
        <v>0.90031717263253286</v>
      </c>
      <c r="CH59" s="31">
        <v>0.88117711834599621</v>
      </c>
      <c r="CI59" s="31">
        <v>0.88</v>
      </c>
      <c r="CJ59" s="31">
        <v>0.89968652037617558</v>
      </c>
      <c r="CK59" s="31">
        <v>0.8654197080291971</v>
      </c>
      <c r="CL59" s="31">
        <v>0.87574507106831734</v>
      </c>
      <c r="CM59" s="31">
        <v>0.87855530474040633</v>
      </c>
      <c r="CN59" s="31">
        <v>0.8848920863309353</v>
      </c>
      <c r="CO59" s="31">
        <v>0.89150090415913197</v>
      </c>
      <c r="CP59" s="31">
        <v>0.88225708495773769</v>
      </c>
      <c r="CQ59" s="31">
        <v>0.87720888083371096</v>
      </c>
      <c r="CR59" s="31">
        <v>0.88524590163934425</v>
      </c>
      <c r="CS59" s="31">
        <v>0.8731241473396999</v>
      </c>
      <c r="CT59" s="31">
        <v>0.87801547564861171</v>
      </c>
      <c r="CU59" s="31">
        <v>0.88671519563239309</v>
      </c>
      <c r="CV59" s="31">
        <v>0.87983614019116974</v>
      </c>
      <c r="CW59" s="31">
        <v>0.89081772498857925</v>
      </c>
      <c r="CX59" s="31">
        <v>0.88156620946764419</v>
      </c>
      <c r="CY59" s="31">
        <v>0.88222122704881323</v>
      </c>
      <c r="CZ59" s="31">
        <v>0.88773669972948599</v>
      </c>
      <c r="DA59" s="31">
        <v>0.88633288227334239</v>
      </c>
      <c r="DB59" s="31">
        <v>0.88665774207942882</v>
      </c>
      <c r="DC59" s="31">
        <v>0.89049773755656103</v>
      </c>
      <c r="DD59" s="31">
        <v>0.92064965197215776</v>
      </c>
      <c r="DE59" s="31">
        <v>0.91837686567164178</v>
      </c>
      <c r="DF59" s="31">
        <v>0.89606754376163311</v>
      </c>
      <c r="DG59" s="31">
        <v>0.91261703076237177</v>
      </c>
      <c r="DH59" s="31">
        <v>0.88620071684587809</v>
      </c>
      <c r="DI59" s="31">
        <v>0.878213802435724</v>
      </c>
      <c r="DJ59" s="31">
        <v>0.86310592459605029</v>
      </c>
      <c r="DK59" s="31">
        <v>0.92163846838824581</v>
      </c>
      <c r="DL59" s="31">
        <v>0.89613309352517989</v>
      </c>
      <c r="DM59" s="31">
        <v>0.90053285968028418</v>
      </c>
      <c r="DN59" s="31">
        <v>0.8940631280333905</v>
      </c>
      <c r="DO59" s="31">
        <v>0.88359550561797751</v>
      </c>
      <c r="DP59" s="31">
        <v>0.88520179372197305</v>
      </c>
      <c r="DQ59" s="31">
        <v>0.87769784172661869</v>
      </c>
      <c r="DR59" s="31">
        <v>0.8683035714285714</v>
      </c>
      <c r="DS59" s="31">
        <v>0.89018377409233529</v>
      </c>
      <c r="DT59" s="31">
        <v>0.89544840018026139</v>
      </c>
      <c r="DU59" s="31">
        <v>0.87539361223571754</v>
      </c>
      <c r="DV59" s="31">
        <v>0.88226064271477933</v>
      </c>
      <c r="DW59" s="31">
        <v>0.88478647686832745</v>
      </c>
      <c r="DX59" s="31">
        <v>0.89750566893424033</v>
      </c>
      <c r="DY59" s="31">
        <v>0.86455073759499335</v>
      </c>
      <c r="DZ59" s="31">
        <v>0.85746102449888639</v>
      </c>
      <c r="EA59" s="31">
        <v>0.90009000900090008</v>
      </c>
      <c r="EB59" s="31">
        <v>0.88719101123595501</v>
      </c>
      <c r="EC59" s="31">
        <v>0.88496376811594202</v>
      </c>
      <c r="ED59" s="31">
        <v>0.88236409946417782</v>
      </c>
      <c r="EE59" s="31">
        <v>0.8942394239423942</v>
      </c>
      <c r="EF59" s="31">
        <v>0.8771929824561403</v>
      </c>
      <c r="EG59" s="31">
        <v>0.86862302483069975</v>
      </c>
      <c r="EH59" s="31">
        <v>0.86567164179104472</v>
      </c>
      <c r="EI59" s="31">
        <v>0.88473660513282304</v>
      </c>
      <c r="EJ59" s="31">
        <v>0.87825696316262358</v>
      </c>
      <c r="EK59" s="31">
        <v>0.88402527075812276</v>
      </c>
      <c r="EL59" s="31">
        <v>0.87896370172483551</v>
      </c>
    </row>
    <row r="60" spans="38:142" x14ac:dyDescent="0.35">
      <c r="AL60" s="19" t="s">
        <v>110</v>
      </c>
      <c r="AM60" s="31">
        <v>0.91295546558704455</v>
      </c>
      <c r="AN60" s="31">
        <v>0.92886178861788615</v>
      </c>
      <c r="AO60" s="31">
        <v>0.89494949494949494</v>
      </c>
      <c r="AP60" s="31">
        <v>0.92727272727272725</v>
      </c>
      <c r="AQ60" s="31">
        <v>0.93951612903225812</v>
      </c>
      <c r="AR60" s="31">
        <v>0.94523326572008115</v>
      </c>
      <c r="AS60" s="31">
        <v>0.9337349397590361</v>
      </c>
      <c r="AT60" s="31">
        <v>0.92607483013407532</v>
      </c>
      <c r="AU60" s="31">
        <v>0.91277890466531442</v>
      </c>
      <c r="AV60" s="31">
        <v>0.94432989690721647</v>
      </c>
      <c r="AW60" s="31">
        <v>0.91803278688524592</v>
      </c>
      <c r="AX60" s="31">
        <v>0.94855967078189296</v>
      </c>
      <c r="AY60" s="31">
        <v>0.92494929006085191</v>
      </c>
      <c r="AZ60" s="31">
        <v>0.9408163265306122</v>
      </c>
      <c r="BA60" s="31">
        <v>0.94117647058823528</v>
      </c>
      <c r="BB60" s="31">
        <v>0.93294904948848134</v>
      </c>
      <c r="BC60" s="31">
        <v>0.905241935483871</v>
      </c>
      <c r="BD60" s="31">
        <v>0.94478527607361962</v>
      </c>
      <c r="BE60" s="31">
        <v>0.90101010101010104</v>
      </c>
      <c r="BF60" s="31">
        <v>0.89738430583501005</v>
      </c>
      <c r="BG60" s="31">
        <v>0.93522267206477738</v>
      </c>
      <c r="BH60" s="31">
        <v>0.92105263157894735</v>
      </c>
      <c r="BI60" s="31">
        <v>0.9251012145748988</v>
      </c>
      <c r="BJ60" s="31">
        <v>0.9185425909458893</v>
      </c>
      <c r="BK60" s="31">
        <v>0.85154639175257729</v>
      </c>
      <c r="BL60" s="31">
        <v>0.91330645161290325</v>
      </c>
      <c r="BM60" s="31">
        <v>0.83505154639175261</v>
      </c>
      <c r="BN60" s="31">
        <v>0.8</v>
      </c>
      <c r="BO60" s="31">
        <v>0.87474332648870634</v>
      </c>
      <c r="BP60" s="31">
        <v>0.88977955911823647</v>
      </c>
      <c r="BQ60" s="31">
        <v>0.86503067484662577</v>
      </c>
      <c r="BR60" s="31">
        <v>0.86135113574440025</v>
      </c>
      <c r="BS60" s="31">
        <v>0.89795918367346939</v>
      </c>
      <c r="BT60" s="31">
        <v>0.87265135699373697</v>
      </c>
      <c r="BU60" s="31">
        <v>0.90427698574338089</v>
      </c>
      <c r="BV60" s="31">
        <v>0.93223819301848054</v>
      </c>
      <c r="BW60" s="31">
        <v>0.89959016393442626</v>
      </c>
      <c r="BX60" s="31">
        <v>0.8737060041407867</v>
      </c>
      <c r="BY60" s="31">
        <v>0.91772151898734178</v>
      </c>
      <c r="BZ60" s="31">
        <v>0.89973477235594601</v>
      </c>
      <c r="CA60" s="31">
        <v>0.88594704684317716</v>
      </c>
      <c r="CB60" s="31">
        <v>0.9320987654320988</v>
      </c>
      <c r="CC60" s="31">
        <v>0.88163265306122451</v>
      </c>
      <c r="CD60" s="31">
        <v>0.86464646464646466</v>
      </c>
      <c r="CE60" s="31">
        <v>0.89387755102040811</v>
      </c>
      <c r="CF60" s="31">
        <v>0.92181069958847739</v>
      </c>
      <c r="CG60" s="31">
        <v>0.90349075975359339</v>
      </c>
      <c r="CH60" s="31">
        <v>0.89764342004934916</v>
      </c>
      <c r="CI60" s="31">
        <v>0.87070707070707065</v>
      </c>
      <c r="CJ60" s="31">
        <v>0.90927419354838712</v>
      </c>
      <c r="CK60" s="31">
        <v>0.872</v>
      </c>
      <c r="CL60" s="31">
        <v>0.87983706720977595</v>
      </c>
      <c r="CM60" s="31">
        <v>0.88104838709677424</v>
      </c>
      <c r="CN60" s="31">
        <v>0.8997995991983968</v>
      </c>
      <c r="CO60" s="31">
        <v>0.89696969696969697</v>
      </c>
      <c r="CP60" s="31">
        <v>0.88709085924715736</v>
      </c>
      <c r="CQ60" s="31">
        <v>0.90060851926977692</v>
      </c>
      <c r="CR60" s="31">
        <v>0.89421157684630737</v>
      </c>
      <c r="CS60" s="31">
        <v>0.90224032586558045</v>
      </c>
      <c r="CT60" s="31">
        <v>0.88508064516129037</v>
      </c>
      <c r="CU60" s="31">
        <v>0.9148073022312373</v>
      </c>
      <c r="CV60" s="31">
        <v>0.91633466135458164</v>
      </c>
      <c r="CW60" s="31">
        <v>0.90800000000000003</v>
      </c>
      <c r="CX60" s="31">
        <v>0.90304043296125347</v>
      </c>
      <c r="CY60" s="31">
        <v>0.92800000000000005</v>
      </c>
      <c r="CZ60" s="31">
        <v>0.89800000000000002</v>
      </c>
      <c r="DA60" s="31">
        <v>0.8997995991983968</v>
      </c>
      <c r="DB60" s="31">
        <v>0.91515151515151516</v>
      </c>
      <c r="DC60" s="31">
        <v>0.92682926829268297</v>
      </c>
      <c r="DD60" s="31">
        <v>0.9178356713426854</v>
      </c>
      <c r="DE60" s="31">
        <v>0.91616766467065869</v>
      </c>
      <c r="DF60" s="31">
        <v>0.91454053123656265</v>
      </c>
      <c r="DG60" s="31">
        <v>0.90909090909090906</v>
      </c>
      <c r="DH60" s="31">
        <v>0.92600000000000005</v>
      </c>
      <c r="DI60" s="31">
        <v>0.90476190476190477</v>
      </c>
      <c r="DJ60" s="31">
        <v>0.89484126984126988</v>
      </c>
      <c r="DK60" s="31">
        <v>0.88118811881188119</v>
      </c>
      <c r="DL60" s="31">
        <v>0.89959839357429716</v>
      </c>
      <c r="DM60" s="31">
        <v>0.91235059760956172</v>
      </c>
      <c r="DN60" s="31">
        <v>0.90397588481283198</v>
      </c>
      <c r="DO60" s="31">
        <v>0.91485148514851489</v>
      </c>
      <c r="DP60" s="31">
        <v>0.91235059760956172</v>
      </c>
      <c r="DQ60" s="31">
        <v>0.89221556886227549</v>
      </c>
      <c r="DR60" s="31">
        <v>0.91485148514851489</v>
      </c>
      <c r="DS60" s="31">
        <v>0.94011976047904189</v>
      </c>
      <c r="DT60" s="31">
        <v>0.92</v>
      </c>
      <c r="DU60" s="31">
        <v>0.92031872509960155</v>
      </c>
      <c r="DV60" s="31">
        <v>0.91638680319250143</v>
      </c>
      <c r="DW60" s="31">
        <v>0.89759036144578308</v>
      </c>
      <c r="DX60" s="31">
        <v>0.90039840637450197</v>
      </c>
      <c r="DY60" s="31">
        <v>0.90361445783132532</v>
      </c>
      <c r="DZ60" s="31">
        <v>0.92105263157894735</v>
      </c>
      <c r="EA60" s="31">
        <v>0.90707070707070703</v>
      </c>
      <c r="EB60" s="31">
        <v>0.92842942345924451</v>
      </c>
      <c r="EC60" s="31">
        <v>0.91951710261569419</v>
      </c>
      <c r="ED60" s="31">
        <v>0.91109615576802916</v>
      </c>
      <c r="EE60" s="31">
        <v>0.93439363817097421</v>
      </c>
      <c r="EF60" s="31">
        <v>0.93482688391038693</v>
      </c>
      <c r="EG60" s="31">
        <v>0.9128712871287129</v>
      </c>
      <c r="EH60" s="31">
        <v>0.92307692307692313</v>
      </c>
      <c r="EI60" s="31">
        <v>0.92</v>
      </c>
      <c r="EJ60" s="31">
        <v>0.94939271255060731</v>
      </c>
      <c r="EK60" s="31">
        <v>0.92261904761904767</v>
      </c>
      <c r="EL60" s="31">
        <v>0.92816864177952163</v>
      </c>
    </row>
    <row r="61" spans="38:142" x14ac:dyDescent="0.35">
      <c r="AL61" s="19" t="s">
        <v>288</v>
      </c>
      <c r="AM61" s="31">
        <v>0.95046620046620045</v>
      </c>
      <c r="AN61" s="31">
        <v>0.9393586005830904</v>
      </c>
      <c r="AO61" s="31">
        <v>0.95046620046620045</v>
      </c>
      <c r="AP61" s="31">
        <v>0.94803695150115475</v>
      </c>
      <c r="AQ61" s="31">
        <v>0.95163170163170163</v>
      </c>
      <c r="AR61" s="31">
        <v>0.94512551079976648</v>
      </c>
      <c r="AS61" s="31">
        <v>0.95454545454545459</v>
      </c>
      <c r="AT61" s="31">
        <v>0.94851865999908114</v>
      </c>
      <c r="AU61" s="31">
        <v>0.94877764842840517</v>
      </c>
      <c r="AV61" s="31">
        <v>0.95389048991354464</v>
      </c>
      <c r="AW61" s="31">
        <v>0.94302325581395352</v>
      </c>
      <c r="AX61" s="31">
        <v>0.93093441671503196</v>
      </c>
      <c r="AY61" s="31">
        <v>0.95531050493325598</v>
      </c>
      <c r="AZ61" s="31">
        <v>0.95626822157434399</v>
      </c>
      <c r="BA61" s="31">
        <v>0.94970760233918128</v>
      </c>
      <c r="BB61" s="31">
        <v>0.94827316281681662</v>
      </c>
      <c r="BC61" s="31">
        <v>0.91147350029120555</v>
      </c>
      <c r="BD61" s="31">
        <v>0.94004656577415602</v>
      </c>
      <c r="BE61" s="31">
        <v>0.88506417736289378</v>
      </c>
      <c r="BF61" s="31">
        <v>0.89198606271777003</v>
      </c>
      <c r="BG61" s="31">
        <v>0.93177842565597668</v>
      </c>
      <c r="BH61" s="31">
        <v>0.95343422584400461</v>
      </c>
      <c r="BI61" s="31">
        <v>0.94230769230769229</v>
      </c>
      <c r="BJ61" s="31">
        <v>0.9222986642790999</v>
      </c>
      <c r="BK61" s="31">
        <v>0.85316308763784099</v>
      </c>
      <c r="BL61" s="31">
        <v>0.88914683691236218</v>
      </c>
      <c r="BM61" s="31">
        <v>0.75174825174825177</v>
      </c>
      <c r="BN61" s="31">
        <v>0.77365060940220542</v>
      </c>
      <c r="BO61" s="31">
        <v>0.8763848396501458</v>
      </c>
      <c r="BP61" s="31">
        <v>0.89901334881021477</v>
      </c>
      <c r="BQ61" s="31">
        <v>0.89778037383177567</v>
      </c>
      <c r="BR61" s="31">
        <v>0.84869819257039947</v>
      </c>
      <c r="BS61" s="31">
        <v>0.89455388180764772</v>
      </c>
      <c r="BT61" s="31">
        <v>0.81659895531050497</v>
      </c>
      <c r="BU61" s="31">
        <v>0.84816753926701571</v>
      </c>
      <c r="BV61" s="31">
        <v>0.84979544126241968</v>
      </c>
      <c r="BW61" s="31">
        <v>0.91077636152954811</v>
      </c>
      <c r="BX61" s="31">
        <v>0.84484777517564402</v>
      </c>
      <c r="BY61" s="31">
        <v>0.90467836257309941</v>
      </c>
      <c r="BZ61" s="31">
        <v>0.86705975956084003</v>
      </c>
      <c r="CA61" s="31">
        <v>0.89057928613224102</v>
      </c>
      <c r="CB61" s="31">
        <v>0.86623831775700932</v>
      </c>
      <c r="CC61" s="31">
        <v>0.87981330221703613</v>
      </c>
      <c r="CD61" s="31">
        <v>0.88966725043782835</v>
      </c>
      <c r="CE61" s="31">
        <v>0.89596727060198711</v>
      </c>
      <c r="CF61" s="31">
        <v>0.90110529377545079</v>
      </c>
      <c r="CG61" s="31">
        <v>0.88986526069127125</v>
      </c>
      <c r="CH61" s="31">
        <v>0.88760514023040327</v>
      </c>
      <c r="CI61" s="31">
        <v>0.87022016222479726</v>
      </c>
      <c r="CJ61" s="31">
        <v>0.9148319814600232</v>
      </c>
      <c r="CK61" s="31">
        <v>0.8887601390498262</v>
      </c>
      <c r="CL61" s="31">
        <v>0.89397450753186558</v>
      </c>
      <c r="CM61" s="31">
        <v>0.89378990133488101</v>
      </c>
      <c r="CN61" s="31">
        <v>0.91495601173020524</v>
      </c>
      <c r="CO61" s="31">
        <v>0.89795918367346939</v>
      </c>
      <c r="CP61" s="31">
        <v>0.89635598385786686</v>
      </c>
      <c r="CQ61" s="31">
        <v>0.90752441125789773</v>
      </c>
      <c r="CR61" s="31">
        <v>0.91154508902929354</v>
      </c>
      <c r="CS61" s="31">
        <v>0.90736478711162261</v>
      </c>
      <c r="CT61" s="31">
        <v>0.92197360872059664</v>
      </c>
      <c r="CU61" s="31">
        <v>0.91201840138010348</v>
      </c>
      <c r="CV61" s="31">
        <v>0.90350373348650204</v>
      </c>
      <c r="CW61" s="31">
        <v>0.91102181400688864</v>
      </c>
      <c r="CX61" s="31">
        <v>0.91070740642755788</v>
      </c>
      <c r="CY61" s="31">
        <v>0.8883248730964467</v>
      </c>
      <c r="CZ61" s="31">
        <v>0.91007398975526466</v>
      </c>
      <c r="DA61" s="31">
        <v>0.89577464788732397</v>
      </c>
      <c r="DB61" s="31">
        <v>0.90280898876404492</v>
      </c>
      <c r="DC61" s="31">
        <v>0.89847715736040612</v>
      </c>
      <c r="DD61" s="31">
        <v>0.91104815864022659</v>
      </c>
      <c r="DE61" s="31">
        <v>0.9069373942470389</v>
      </c>
      <c r="DF61" s="31">
        <v>0.90192074425010738</v>
      </c>
      <c r="DG61" s="31">
        <v>0.89423614997202017</v>
      </c>
      <c r="DH61" s="31">
        <v>0.89859154929577467</v>
      </c>
      <c r="DI61" s="31">
        <v>0.87269681742043548</v>
      </c>
      <c r="DJ61" s="31">
        <v>0.88845510317902954</v>
      </c>
      <c r="DK61" s="31">
        <v>0.90140056022408965</v>
      </c>
      <c r="DL61" s="31">
        <v>0.90190582959641252</v>
      </c>
      <c r="DM61" s="31">
        <v>0.90011223344556679</v>
      </c>
      <c r="DN61" s="31">
        <v>0.89391403473333264</v>
      </c>
      <c r="DO61" s="31">
        <v>0.9032979318054779</v>
      </c>
      <c r="DP61" s="31">
        <v>0.90782122905027929</v>
      </c>
      <c r="DQ61" s="31">
        <v>0.8777219430485762</v>
      </c>
      <c r="DR61" s="31">
        <v>0.88541084404695358</v>
      </c>
      <c r="DS61" s="31">
        <v>0.8994413407821229</v>
      </c>
      <c r="DT61" s="31">
        <v>0.90766648013430329</v>
      </c>
      <c r="DU61" s="31">
        <v>0.90055865921787714</v>
      </c>
      <c r="DV61" s="31">
        <v>0.89741691829794146</v>
      </c>
      <c r="DW61" s="31">
        <v>0.86954087346024633</v>
      </c>
      <c r="DX61" s="31">
        <v>0.89056393076493578</v>
      </c>
      <c r="DY61" s="31">
        <v>0.8823201338538762</v>
      </c>
      <c r="DZ61" s="31">
        <v>0.88826815642458101</v>
      </c>
      <c r="EA61" s="31">
        <v>0.89591494124230553</v>
      </c>
      <c r="EB61" s="31">
        <v>0.89373601789709167</v>
      </c>
      <c r="EC61" s="31">
        <v>0.89714924538848517</v>
      </c>
      <c r="ED61" s="31">
        <v>0.88821332843307454</v>
      </c>
      <c r="EE61" s="31">
        <v>0.88304420817011753</v>
      </c>
      <c r="EF61" s="31">
        <v>0.89826718837339292</v>
      </c>
      <c r="EG61" s="31">
        <v>0.87409065472859537</v>
      </c>
      <c r="EH61" s="31">
        <v>0.88975937325125909</v>
      </c>
      <c r="EI61" s="31">
        <v>0.90382452193475815</v>
      </c>
      <c r="EJ61" s="31">
        <v>0.88702460850111853</v>
      </c>
      <c r="EK61" s="31">
        <v>0.89093959731543626</v>
      </c>
      <c r="EL61" s="31">
        <v>0.88956430746781123</v>
      </c>
    </row>
    <row r="62" spans="38:142" x14ac:dyDescent="0.35">
      <c r="AL62" s="19" t="s">
        <v>111</v>
      </c>
      <c r="AM62" s="31">
        <v>0.92750929368029744</v>
      </c>
      <c r="AN62" s="31">
        <v>0.82962962962962961</v>
      </c>
      <c r="AO62" s="31">
        <v>0.9087523277467412</v>
      </c>
      <c r="AP62" s="31">
        <v>0.94776119402985071</v>
      </c>
      <c r="AQ62" s="31">
        <v>0.93308550185873607</v>
      </c>
      <c r="AR62" s="31">
        <v>0.93888888888888888</v>
      </c>
      <c r="AS62" s="31">
        <v>0.93148148148148147</v>
      </c>
      <c r="AT62" s="31">
        <v>0.91672975961651793</v>
      </c>
      <c r="AU62" s="31">
        <v>0.99257884972170685</v>
      </c>
      <c r="AV62" s="31">
        <v>0.94599627560521415</v>
      </c>
      <c r="AW62" s="31">
        <v>0.93296089385474856</v>
      </c>
      <c r="AX62" s="31">
        <v>0.92723880597014929</v>
      </c>
      <c r="AY62" s="31">
        <v>0.94434137291280151</v>
      </c>
      <c r="AZ62" s="31">
        <v>0.96275605214152704</v>
      </c>
      <c r="BA62" s="31">
        <v>0.94805194805194803</v>
      </c>
      <c r="BB62" s="31">
        <v>0.95056059975115648</v>
      </c>
      <c r="BC62" s="31">
        <v>0.90370370370370368</v>
      </c>
      <c r="BD62" s="31">
        <v>0.94392523364485981</v>
      </c>
      <c r="BE62" s="31">
        <v>0.89015151515151514</v>
      </c>
      <c r="BF62" s="31">
        <v>0.94106463878326996</v>
      </c>
      <c r="BG62" s="31">
        <v>0.81851851851851853</v>
      </c>
      <c r="BH62" s="31">
        <v>0.93644859813084114</v>
      </c>
      <c r="BI62" s="31">
        <v>0.9135338345864662</v>
      </c>
      <c r="BJ62" s="31">
        <v>0.90676372035988206</v>
      </c>
      <c r="BK62" s="31">
        <v>0.9014869888475836</v>
      </c>
      <c r="BL62" s="31">
        <v>0.96380952380952378</v>
      </c>
      <c r="BM62" s="31">
        <v>0.77323420074349447</v>
      </c>
      <c r="BN62" s="31">
        <v>0.8027888446215139</v>
      </c>
      <c r="BO62" s="31">
        <v>0.87809523809523804</v>
      </c>
      <c r="BP62" s="31">
        <v>0.92105263157894735</v>
      </c>
      <c r="BQ62" s="31">
        <v>0.94619666048237472</v>
      </c>
      <c r="BR62" s="31">
        <v>0.88380915545409666</v>
      </c>
      <c r="BS62" s="31">
        <v>0.966796875</v>
      </c>
      <c r="BT62" s="31">
        <v>0.8775100401606426</v>
      </c>
      <c r="BU62" s="31">
        <v>0.9221789883268483</v>
      </c>
      <c r="BV62" s="31">
        <v>0.9572815533980582</v>
      </c>
      <c r="BW62" s="31">
        <v>0.966796875</v>
      </c>
      <c r="BX62" s="31">
        <v>0.9536290322580645</v>
      </c>
      <c r="BY62" s="31">
        <v>0.98007968127490042</v>
      </c>
      <c r="BZ62" s="31">
        <v>0.94632472077407337</v>
      </c>
      <c r="CA62" s="31">
        <v>0.98586572438162545</v>
      </c>
      <c r="CB62" s="31">
        <v>0.95969289827255277</v>
      </c>
      <c r="CC62" s="31">
        <v>0.94128113879003561</v>
      </c>
      <c r="CD62" s="31">
        <v>0.96071428571428574</v>
      </c>
      <c r="CE62" s="31">
        <v>0.97022767075306482</v>
      </c>
      <c r="CF62" s="31">
        <v>0.99060150375939848</v>
      </c>
      <c r="CG62" s="31">
        <v>0.98515769944341369</v>
      </c>
      <c r="CH62" s="31">
        <v>0.97050584587348232</v>
      </c>
      <c r="CI62" s="31">
        <v>0.94964028776978415</v>
      </c>
      <c r="CJ62" s="31">
        <v>0.9751332149200711</v>
      </c>
      <c r="CK62" s="31">
        <v>0.90350877192982459</v>
      </c>
      <c r="CL62" s="31">
        <v>0.93950177935943058</v>
      </c>
      <c r="CM62" s="31">
        <v>0.95169946332737032</v>
      </c>
      <c r="CN62" s="31">
        <v>0.96969696969696972</v>
      </c>
      <c r="CO62" s="31">
        <v>0.93794326241134751</v>
      </c>
      <c r="CP62" s="31">
        <v>0.94673196420211403</v>
      </c>
      <c r="CQ62" s="31">
        <v>0.937037037037037</v>
      </c>
      <c r="CR62" s="31">
        <v>0.94990723562152135</v>
      </c>
      <c r="CS62" s="31">
        <v>0.94876660341555974</v>
      </c>
      <c r="CT62" s="31">
        <v>0.95906432748538006</v>
      </c>
      <c r="CU62" s="31">
        <v>0.98872180451127822</v>
      </c>
      <c r="CV62" s="31">
        <v>0.96487985212569316</v>
      </c>
      <c r="CW62" s="31">
        <v>0.95596330275229358</v>
      </c>
      <c r="CX62" s="31">
        <v>0.95776288042125191</v>
      </c>
      <c r="CY62" s="31">
        <v>0.86988847583643125</v>
      </c>
      <c r="CZ62" s="31">
        <v>0.98062015503875966</v>
      </c>
      <c r="DA62" s="31">
        <v>0.86630036630036633</v>
      </c>
      <c r="DB62" s="31">
        <v>0.8797814207650273</v>
      </c>
      <c r="DC62" s="31">
        <v>0.9037735849056604</v>
      </c>
      <c r="DD62" s="31">
        <v>0.96125461254612543</v>
      </c>
      <c r="DE62" s="31">
        <v>0.96545105566218814</v>
      </c>
      <c r="DF62" s="31">
        <v>0.91815281015065131</v>
      </c>
      <c r="DG62" s="31">
        <v>0.92226148409893993</v>
      </c>
      <c r="DH62" s="31">
        <v>0.91666666666666663</v>
      </c>
      <c r="DI62" s="31">
        <v>0.90780141843971629</v>
      </c>
      <c r="DJ62" s="31">
        <v>0.93406593406593408</v>
      </c>
      <c r="DK62" s="31">
        <v>0.94474153297682706</v>
      </c>
      <c r="DL62" s="31">
        <v>0.93065693430656937</v>
      </c>
      <c r="DM62" s="31">
        <v>0.97287522603978305</v>
      </c>
      <c r="DN62" s="31">
        <v>0.93272417094206239</v>
      </c>
      <c r="DO62" s="31">
        <v>0.96660482374768086</v>
      </c>
      <c r="DP62" s="31">
        <v>0.9573283858998145</v>
      </c>
      <c r="DQ62" s="31">
        <v>0.90090090090090091</v>
      </c>
      <c r="DR62" s="31">
        <v>0.93345656192236603</v>
      </c>
      <c r="DS62" s="31">
        <v>0.9200743494423792</v>
      </c>
      <c r="DT62" s="31">
        <v>0.9378427787934186</v>
      </c>
      <c r="DU62" s="31">
        <v>0.93862815884476536</v>
      </c>
      <c r="DV62" s="31">
        <v>0.93640513707876083</v>
      </c>
      <c r="DW62" s="31">
        <v>0.9507299270072993</v>
      </c>
      <c r="DX62" s="31">
        <v>0.94756554307116103</v>
      </c>
      <c r="DY62" s="31">
        <v>0.93806921675774135</v>
      </c>
      <c r="DZ62" s="31">
        <v>0.94363636363636361</v>
      </c>
      <c r="EA62" s="31">
        <v>0.97307692307692306</v>
      </c>
      <c r="EB62" s="31">
        <v>0.95149253731343286</v>
      </c>
      <c r="EC62" s="31">
        <v>0.95895522388059706</v>
      </c>
      <c r="ED62" s="31">
        <v>0.95193224782050267</v>
      </c>
      <c r="EE62" s="31">
        <v>0.92057761732851984</v>
      </c>
      <c r="EF62" s="31">
        <v>0.96383363471971062</v>
      </c>
      <c r="EG62" s="31">
        <v>0.87318840579710144</v>
      </c>
      <c r="EH62" s="31">
        <v>0.93851717902350817</v>
      </c>
      <c r="EI62" s="31">
        <v>0.92779783393501802</v>
      </c>
      <c r="EJ62" s="31">
        <v>0.93605683836589693</v>
      </c>
      <c r="EK62" s="31">
        <v>0.95357142857142863</v>
      </c>
      <c r="EL62" s="31">
        <v>0.93050613396302617</v>
      </c>
    </row>
    <row r="63" spans="38:142" x14ac:dyDescent="0.35">
      <c r="AL63" s="19" t="s">
        <v>112</v>
      </c>
      <c r="AM63" s="31">
        <v>0.9238683127572016</v>
      </c>
      <c r="AN63" s="31">
        <v>0.96044624746450302</v>
      </c>
      <c r="AO63" s="31">
        <v>0.936656282450675</v>
      </c>
      <c r="AP63" s="31">
        <v>0.95850622406639008</v>
      </c>
      <c r="AQ63" s="31">
        <v>0.94032921810699588</v>
      </c>
      <c r="AR63" s="31">
        <v>0.96410256410256412</v>
      </c>
      <c r="AS63" s="31" t="e">
        <v>#NUM!</v>
      </c>
      <c r="AT63" s="31" t="e">
        <v>#NUM!</v>
      </c>
      <c r="AU63" s="31">
        <v>0.93933054393305437</v>
      </c>
      <c r="AV63" s="31">
        <v>0.95576131687242794</v>
      </c>
      <c r="AW63" s="31">
        <v>0.93901156677181918</v>
      </c>
      <c r="AX63" s="31">
        <v>0.9406867845993756</v>
      </c>
      <c r="AY63" s="31">
        <v>0.93476044852191642</v>
      </c>
      <c r="AZ63" s="31">
        <v>0.96292481977342947</v>
      </c>
      <c r="BA63" s="31">
        <v>0.95477903391572461</v>
      </c>
      <c r="BB63" s="31">
        <v>0.94675064491253536</v>
      </c>
      <c r="BC63" s="31">
        <v>0.91891891891891897</v>
      </c>
      <c r="BD63" s="31">
        <v>0.95514780835881752</v>
      </c>
      <c r="BE63" s="31">
        <v>0.92156862745098034</v>
      </c>
      <c r="BF63" s="31">
        <v>0.93704850361197112</v>
      </c>
      <c r="BG63" s="31">
        <v>0.9302083333333333</v>
      </c>
      <c r="BH63" s="31">
        <v>0.95733610822060355</v>
      </c>
      <c r="BI63" s="31">
        <v>0.93775933609958506</v>
      </c>
      <c r="BJ63" s="31">
        <v>0.93685537657060158</v>
      </c>
      <c r="BK63" s="31">
        <v>0.90249187432286027</v>
      </c>
      <c r="BL63" s="31">
        <v>0.94074844074844077</v>
      </c>
      <c r="BM63" s="31">
        <v>0.85189309576837413</v>
      </c>
      <c r="BN63" s="31">
        <v>0.8359375</v>
      </c>
      <c r="BO63" s="31">
        <v>0.90295358649789026</v>
      </c>
      <c r="BP63" s="31">
        <v>0.92476489028213171</v>
      </c>
      <c r="BQ63" s="31">
        <v>0.91772151898734178</v>
      </c>
      <c r="BR63" s="31">
        <v>0.89664441522957716</v>
      </c>
      <c r="BS63" s="31">
        <v>0.95059076262083786</v>
      </c>
      <c r="BT63" s="31">
        <v>0.86586695747001086</v>
      </c>
      <c r="BU63" s="31">
        <v>0.92902542372881358</v>
      </c>
      <c r="BV63" s="31">
        <v>0.95869565217391306</v>
      </c>
      <c r="BW63" s="31">
        <v>0.94764957264957261</v>
      </c>
      <c r="BX63" s="31">
        <v>0.89784946236559138</v>
      </c>
      <c r="BY63" s="31">
        <v>0.9197860962566845</v>
      </c>
      <c r="BZ63" s="31">
        <v>0.92420913246648906</v>
      </c>
      <c r="CA63" s="31">
        <v>0.87967644084934282</v>
      </c>
      <c r="CB63" s="31">
        <v>0.92759706190975866</v>
      </c>
      <c r="CC63" s="31">
        <v>0.88223140495867769</v>
      </c>
      <c r="CD63" s="31">
        <v>0.91623578076525336</v>
      </c>
      <c r="CE63" s="31">
        <v>0.92774869109947644</v>
      </c>
      <c r="CF63" s="31">
        <v>0.91974656810982047</v>
      </c>
      <c r="CG63" s="31">
        <v>0.90566037735849059</v>
      </c>
      <c r="CH63" s="31">
        <v>0.90841376072154567</v>
      </c>
      <c r="CI63" s="31">
        <v>0.9117341640706127</v>
      </c>
      <c r="CJ63" s="31">
        <v>0.9173553719008265</v>
      </c>
      <c r="CK63" s="31">
        <v>0.89376915219611852</v>
      </c>
      <c r="CL63" s="31">
        <v>0.90091930541368748</v>
      </c>
      <c r="CM63" s="31">
        <v>0.92675159235668791</v>
      </c>
      <c r="CN63" s="31">
        <v>0.92729188619599578</v>
      </c>
      <c r="CO63" s="31">
        <v>0.92774869109947644</v>
      </c>
      <c r="CP63" s="31">
        <v>0.91508145189048651</v>
      </c>
      <c r="CQ63" s="31">
        <v>0.90042372881355937</v>
      </c>
      <c r="CR63" s="31">
        <v>0.89105858170606367</v>
      </c>
      <c r="CS63" s="31">
        <v>0.9477054429028815</v>
      </c>
      <c r="CT63" s="31">
        <v>0.92055084745762716</v>
      </c>
      <c r="CU63" s="31">
        <v>0.90918690601900742</v>
      </c>
      <c r="CV63" s="31">
        <v>0.92121848739495793</v>
      </c>
      <c r="CW63" s="31">
        <v>0.92210526315789476</v>
      </c>
      <c r="CX63" s="31">
        <v>0.91603560820742747</v>
      </c>
      <c r="CY63" s="31">
        <v>0.89387755102040811</v>
      </c>
      <c r="CZ63" s="31">
        <v>0.93957703927492442</v>
      </c>
      <c r="DA63" s="31">
        <v>0.90602655771195095</v>
      </c>
      <c r="DB63" s="31">
        <v>0.90010193679918449</v>
      </c>
      <c r="DC63" s="31">
        <v>0.91361788617886175</v>
      </c>
      <c r="DD63" s="31">
        <v>0.93506493506493504</v>
      </c>
      <c r="DE63" s="31">
        <v>0.92771084337349397</v>
      </c>
      <c r="DF63" s="31">
        <v>0.91656810706053693</v>
      </c>
      <c r="DG63" s="31">
        <v>0.91437308868501532</v>
      </c>
      <c r="DH63" s="31">
        <v>0.91472081218274115</v>
      </c>
      <c r="DI63" s="31">
        <v>0.92719919110212334</v>
      </c>
      <c r="DJ63" s="31">
        <v>0.92900608519269778</v>
      </c>
      <c r="DK63" s="31">
        <v>0.90374873353596763</v>
      </c>
      <c r="DL63" s="31">
        <v>0.94016227180527379</v>
      </c>
      <c r="DM63" s="31">
        <v>0.92089249492900604</v>
      </c>
      <c r="DN63" s="31">
        <v>0.9214432396332608</v>
      </c>
      <c r="DO63" s="31">
        <v>0.83783783783783783</v>
      </c>
      <c r="DP63" s="31">
        <v>0.94591836734693879</v>
      </c>
      <c r="DQ63" s="31">
        <v>0.75</v>
      </c>
      <c r="DR63" s="31">
        <v>0.7640449438202247</v>
      </c>
      <c r="DS63" s="31">
        <v>0.85440613026819923</v>
      </c>
      <c r="DT63" s="31">
        <v>0.93881644934804409</v>
      </c>
      <c r="DU63" s="31">
        <v>0.83969465648854957</v>
      </c>
      <c r="DV63" s="31">
        <v>0.84724548358711338</v>
      </c>
      <c r="DW63" s="31">
        <v>0.90662650602409633</v>
      </c>
      <c r="DX63" s="31">
        <v>0.93299492385786797</v>
      </c>
      <c r="DY63" s="31">
        <v>0.90355329949238583</v>
      </c>
      <c r="DZ63" s="31">
        <v>0.89764585465711366</v>
      </c>
      <c r="EA63" s="31">
        <v>0.89665653495440734</v>
      </c>
      <c r="EB63" s="31">
        <v>0.92719919110212334</v>
      </c>
      <c r="EC63" s="31">
        <v>0.90437436419125128</v>
      </c>
      <c r="ED63" s="31">
        <v>0.90986438203989228</v>
      </c>
      <c r="EE63" s="31">
        <v>0.90160642570281124</v>
      </c>
      <c r="EF63" s="31">
        <v>0.92668024439918528</v>
      </c>
      <c r="EG63" s="31">
        <v>0.92447129909365555</v>
      </c>
      <c r="EH63" s="31">
        <v>0.93844601412714435</v>
      </c>
      <c r="EI63" s="31">
        <v>0.90221774193548387</v>
      </c>
      <c r="EJ63" s="31">
        <v>0.93068297655453613</v>
      </c>
      <c r="EK63" s="31">
        <v>0.91374122367101307</v>
      </c>
      <c r="EL63" s="31">
        <v>0.91969227506911866</v>
      </c>
    </row>
    <row r="64" spans="38:142" x14ac:dyDescent="0.35">
      <c r="AL64" s="19" t="s">
        <v>113</v>
      </c>
      <c r="AM64" s="31">
        <v>0.89754098360655743</v>
      </c>
      <c r="AN64" s="31">
        <v>0.92827868852459017</v>
      </c>
      <c r="AO64" s="31">
        <v>0.87295081967213117</v>
      </c>
      <c r="AP64" s="31">
        <v>0.88319672131147542</v>
      </c>
      <c r="AQ64" s="31">
        <v>0.90778688524590168</v>
      </c>
      <c r="AR64" s="31">
        <v>0.91803278688524592</v>
      </c>
      <c r="AS64" s="31">
        <v>0.91598360655737709</v>
      </c>
      <c r="AT64" s="31">
        <v>0.90339578454332548</v>
      </c>
      <c r="AU64" s="31">
        <v>0.93237704918032782</v>
      </c>
      <c r="AV64" s="31">
        <v>0.90368852459016391</v>
      </c>
      <c r="AW64" s="31">
        <v>0.86680327868852458</v>
      </c>
      <c r="AX64" s="31">
        <v>0.86885245901639341</v>
      </c>
      <c r="AY64" s="31">
        <v>0.93032786885245899</v>
      </c>
      <c r="AZ64" s="31">
        <v>0.94672131147540983</v>
      </c>
      <c r="BA64" s="31">
        <v>0.96926229508196726</v>
      </c>
      <c r="BB64" s="31">
        <v>0.91686182669789229</v>
      </c>
      <c r="BC64" s="31">
        <v>0.93852459016393441</v>
      </c>
      <c r="BD64" s="31">
        <v>0.92418032786885251</v>
      </c>
      <c r="BE64" s="31">
        <v>0.9098360655737705</v>
      </c>
      <c r="BF64" s="31">
        <v>0.89344262295081966</v>
      </c>
      <c r="BG64" s="31">
        <v>0.93032786885245899</v>
      </c>
      <c r="BH64" s="31">
        <v>0.95696721311475408</v>
      </c>
      <c r="BI64" s="31">
        <v>0.92008196721311475</v>
      </c>
      <c r="BJ64" s="31">
        <v>0.92476580796252938</v>
      </c>
      <c r="BK64" s="31">
        <v>0.77663934426229508</v>
      </c>
      <c r="BL64" s="31">
        <v>0.90163934426229508</v>
      </c>
      <c r="BM64" s="31">
        <v>0.68647540983606559</v>
      </c>
      <c r="BN64" s="31">
        <v>0.75204918032786883</v>
      </c>
      <c r="BO64" s="31">
        <v>0.82172131147540983</v>
      </c>
      <c r="BP64" s="31">
        <v>0.91188524590163933</v>
      </c>
      <c r="BQ64" s="31">
        <v>0.85040983606557374</v>
      </c>
      <c r="BR64" s="31">
        <v>0.81440281030444972</v>
      </c>
      <c r="BS64" s="31">
        <v>0.91598360655737709</v>
      </c>
      <c r="BT64" s="31">
        <v>0.79098360655737709</v>
      </c>
      <c r="BU64" s="31">
        <v>0.86885245901639341</v>
      </c>
      <c r="BV64" s="31">
        <v>0.88319672131147542</v>
      </c>
      <c r="BW64" s="31">
        <v>0.93237704918032782</v>
      </c>
      <c r="BX64" s="31">
        <v>0.85655737704918034</v>
      </c>
      <c r="BY64" s="31">
        <v>0.90778688524590168</v>
      </c>
      <c r="BZ64" s="31">
        <v>0.87939110070257609</v>
      </c>
      <c r="CA64" s="31">
        <v>0.91803278688524592</v>
      </c>
      <c r="CB64" s="31">
        <v>0.90368852459016391</v>
      </c>
      <c r="CC64" s="31">
        <v>0.87090163934426235</v>
      </c>
      <c r="CD64" s="31">
        <v>0.88114754098360659</v>
      </c>
      <c r="CE64" s="31">
        <v>0.92622950819672134</v>
      </c>
      <c r="CF64" s="31">
        <v>0.92622950819672134</v>
      </c>
      <c r="CG64" s="31">
        <v>0.92418032786885251</v>
      </c>
      <c r="CH64" s="31">
        <v>0.90720140515222492</v>
      </c>
      <c r="CI64" s="31">
        <v>0.90368852459016391</v>
      </c>
      <c r="CJ64" s="31">
        <v>0.90368852459016391</v>
      </c>
      <c r="CK64" s="31">
        <v>0.88524590163934425</v>
      </c>
      <c r="CL64" s="31">
        <v>0.88934426229508201</v>
      </c>
      <c r="CM64" s="31">
        <v>0.93442622950819676</v>
      </c>
      <c r="CN64" s="31">
        <v>0.90778688524590168</v>
      </c>
      <c r="CO64" s="31">
        <v>0.90778688524590168</v>
      </c>
      <c r="CP64" s="31">
        <v>0.90456674473067911</v>
      </c>
      <c r="CQ64" s="31">
        <v>0.85860655737704916</v>
      </c>
      <c r="CR64" s="31">
        <v>0.91598360655737709</v>
      </c>
      <c r="CS64" s="31">
        <v>0.88524590163934425</v>
      </c>
      <c r="CT64" s="31">
        <v>0.89344262295081966</v>
      </c>
      <c r="CU64" s="31">
        <v>0.89139344262295084</v>
      </c>
      <c r="CV64" s="31">
        <v>0.87704918032786883</v>
      </c>
      <c r="CW64" s="31">
        <v>0.88319672131147542</v>
      </c>
      <c r="CX64" s="31">
        <v>0.88641686182669788</v>
      </c>
      <c r="CY64" s="31">
        <v>0.90368852459016391</v>
      </c>
      <c r="CZ64" s="31">
        <v>0.89959016393442626</v>
      </c>
      <c r="DA64" s="31">
        <v>0.87704918032786883</v>
      </c>
      <c r="DB64" s="31">
        <v>0.86680327868852458</v>
      </c>
      <c r="DC64" s="31">
        <v>0.90368852459016391</v>
      </c>
      <c r="DD64" s="31">
        <v>0.90163934426229508</v>
      </c>
      <c r="DE64" s="31">
        <v>0.90368852459016391</v>
      </c>
      <c r="DF64" s="31">
        <v>0.8937353629976581</v>
      </c>
      <c r="DG64" s="31">
        <v>0.91598360655737709</v>
      </c>
      <c r="DH64" s="31">
        <v>0.91803278688524592</v>
      </c>
      <c r="DI64" s="31">
        <v>0.84631147540983609</v>
      </c>
      <c r="DJ64" s="31">
        <v>0.875</v>
      </c>
      <c r="DK64" s="31">
        <v>0.93237704918032782</v>
      </c>
      <c r="DL64" s="31">
        <v>0.95696721311475408</v>
      </c>
      <c r="DM64" s="31">
        <v>0.9651639344262295</v>
      </c>
      <c r="DN64" s="31">
        <v>0.91569086651053866</v>
      </c>
      <c r="DO64" s="31">
        <v>0.92418032786885251</v>
      </c>
      <c r="DP64" s="31">
        <v>0.90573770491803274</v>
      </c>
      <c r="DQ64" s="31">
        <v>0.88934426229508201</v>
      </c>
      <c r="DR64" s="31">
        <v>0.88934426229508201</v>
      </c>
      <c r="DS64" s="31">
        <v>0.92008196721311475</v>
      </c>
      <c r="DT64" s="31">
        <v>0.94262295081967218</v>
      </c>
      <c r="DU64" s="31">
        <v>0.93852459016393441</v>
      </c>
      <c r="DV64" s="31">
        <v>0.91569086651053866</v>
      </c>
      <c r="DW64" s="31">
        <v>0.91598360655737709</v>
      </c>
      <c r="DX64" s="31">
        <v>0.93442622950819676</v>
      </c>
      <c r="DY64" s="31">
        <v>0.89549180327868849</v>
      </c>
      <c r="DZ64" s="31">
        <v>0.91188524590163933</v>
      </c>
      <c r="EA64" s="31">
        <v>0.92213114754098358</v>
      </c>
      <c r="EB64" s="31">
        <v>0.95901639344262291</v>
      </c>
      <c r="EC64" s="31">
        <v>0.94057377049180324</v>
      </c>
      <c r="ED64" s="31">
        <v>0.92564402810304447</v>
      </c>
      <c r="EE64" s="31">
        <v>0.94877049180327866</v>
      </c>
      <c r="EF64" s="31">
        <v>0.94877049180327866</v>
      </c>
      <c r="EG64" s="31">
        <v>0.89549180327868849</v>
      </c>
      <c r="EH64" s="31">
        <v>0.90778688524590168</v>
      </c>
      <c r="EI64" s="31">
        <v>0.92008196721311475</v>
      </c>
      <c r="EJ64" s="31">
        <v>0.94672131147540983</v>
      </c>
      <c r="EK64" s="31">
        <v>0.95081967213114749</v>
      </c>
      <c r="EL64" s="31">
        <v>0.93120608899297419</v>
      </c>
    </row>
    <row r="65" spans="38:142" x14ac:dyDescent="0.35">
      <c r="AL65" s="19" t="s">
        <v>114</v>
      </c>
      <c r="AM65" s="31">
        <v>0.92703862660944203</v>
      </c>
      <c r="AN65" s="31">
        <v>0.94918918918918915</v>
      </c>
      <c r="AO65" s="31">
        <v>0.90938166311300639</v>
      </c>
      <c r="AP65" s="31">
        <v>0.92324093816631125</v>
      </c>
      <c r="AQ65" s="31">
        <v>0.9453961456102784</v>
      </c>
      <c r="AR65" s="31">
        <v>0.94055201698513802</v>
      </c>
      <c r="AS65" s="31">
        <v>0.94456289978678043</v>
      </c>
      <c r="AT65" s="31">
        <v>0.9341944970657351</v>
      </c>
      <c r="AU65" s="31">
        <v>0.95468914646996839</v>
      </c>
      <c r="AV65" s="31">
        <v>0.94927536231884058</v>
      </c>
      <c r="AW65" s="31">
        <v>0.9171038824763903</v>
      </c>
      <c r="AX65" s="31">
        <v>0.93234672304439747</v>
      </c>
      <c r="AY65" s="31">
        <v>0.92307692307692313</v>
      </c>
      <c r="AZ65" s="31">
        <v>0.92782426778242677</v>
      </c>
      <c r="BA65" s="31">
        <v>0.91779396462018725</v>
      </c>
      <c r="BB65" s="31">
        <v>0.93173003854130498</v>
      </c>
      <c r="BC65" s="31">
        <v>0.92723492723492729</v>
      </c>
      <c r="BD65" s="31">
        <v>0.95015576323987538</v>
      </c>
      <c r="BE65" s="31">
        <v>0.93008474576271183</v>
      </c>
      <c r="BF65" s="31">
        <v>0.93723404255319154</v>
      </c>
      <c r="BG65" s="31">
        <v>0.94847528916929547</v>
      </c>
      <c r="BH65" s="31">
        <v>0.94524793388429751</v>
      </c>
      <c r="BI65" s="31">
        <v>0.96808510638297873</v>
      </c>
      <c r="BJ65" s="31">
        <v>0.94378825831818258</v>
      </c>
      <c r="BK65" s="31">
        <v>0.88790233074361824</v>
      </c>
      <c r="BL65" s="31">
        <v>0.93936170212765957</v>
      </c>
      <c r="BM65" s="31">
        <v>0.83564814814814814</v>
      </c>
      <c r="BN65" s="31">
        <v>0.86480186480186483</v>
      </c>
      <c r="BO65" s="31">
        <v>0.9229074889867841</v>
      </c>
      <c r="BP65" s="31">
        <v>0.91299790356394128</v>
      </c>
      <c r="BQ65" s="31">
        <v>0.90889603429796351</v>
      </c>
      <c r="BR65" s="31">
        <v>0.8960736389528543</v>
      </c>
      <c r="BS65" s="31">
        <v>0.88485477178423233</v>
      </c>
      <c r="BT65" s="31">
        <v>0.88677130044843044</v>
      </c>
      <c r="BU65" s="31">
        <v>0.88900634249471455</v>
      </c>
      <c r="BV65" s="31">
        <v>0.90288153681963712</v>
      </c>
      <c r="BW65" s="31">
        <v>0.9244060475161987</v>
      </c>
      <c r="BX65" s="31">
        <v>0.89689578713968954</v>
      </c>
      <c r="BY65" s="31">
        <v>0.89945945945945949</v>
      </c>
      <c r="BZ65" s="31">
        <v>0.89775360652319469</v>
      </c>
      <c r="CA65" s="31">
        <v>0.91666666666666663</v>
      </c>
      <c r="CB65" s="31">
        <v>0.91666666666666663</v>
      </c>
      <c r="CC65" s="31">
        <v>0.91791044776119401</v>
      </c>
      <c r="CD65" s="31">
        <v>0.9216738197424893</v>
      </c>
      <c r="CE65" s="31">
        <v>0.94282632146709822</v>
      </c>
      <c r="CF65" s="31">
        <v>0.91331923890063427</v>
      </c>
      <c r="CG65" s="31">
        <v>0.93340494092373794</v>
      </c>
      <c r="CH65" s="31">
        <v>0.92320972887549824</v>
      </c>
      <c r="CI65" s="31">
        <v>0.91640211640211644</v>
      </c>
      <c r="CJ65" s="31">
        <v>0.93952033368091759</v>
      </c>
      <c r="CK65" s="31">
        <v>0.91871657754010694</v>
      </c>
      <c r="CL65" s="31">
        <v>0.91179596174282673</v>
      </c>
      <c r="CM65" s="31">
        <v>0.92324093816631125</v>
      </c>
      <c r="CN65" s="31">
        <v>0.93305439330543938</v>
      </c>
      <c r="CO65" s="31">
        <v>0.92917547568710357</v>
      </c>
      <c r="CP65" s="31">
        <v>0.92455797093211733</v>
      </c>
      <c r="CQ65" s="31">
        <v>0.87885228480340061</v>
      </c>
      <c r="CR65" s="31">
        <v>0.92773645058448462</v>
      </c>
      <c r="CS65" s="31">
        <v>0.90980834272829758</v>
      </c>
      <c r="CT65" s="31">
        <v>0.88306010928961753</v>
      </c>
      <c r="CU65" s="31">
        <v>0.91772151898734178</v>
      </c>
      <c r="CV65" s="31">
        <v>0.92680301399354148</v>
      </c>
      <c r="CW65" s="31">
        <v>0.93196544276457882</v>
      </c>
      <c r="CX65" s="31">
        <v>0.91084959473589466</v>
      </c>
      <c r="CY65" s="31">
        <v>0.91166848418756818</v>
      </c>
      <c r="CZ65" s="31">
        <v>0.89057421451787644</v>
      </c>
      <c r="DA65" s="31">
        <v>0.90919158361018826</v>
      </c>
      <c r="DB65" s="31">
        <v>0.9023605150214592</v>
      </c>
      <c r="DC65" s="31">
        <v>0.88960342979635587</v>
      </c>
      <c r="DD65" s="31">
        <v>0.89599133261105091</v>
      </c>
      <c r="DE65" s="31">
        <v>0.87607758620689657</v>
      </c>
      <c r="DF65" s="31">
        <v>0.89649530656448506</v>
      </c>
      <c r="DG65" s="31">
        <v>0.91188959660297242</v>
      </c>
      <c r="DH65" s="31">
        <v>0.91462113127001066</v>
      </c>
      <c r="DI65" s="31">
        <v>0.89212513484358147</v>
      </c>
      <c r="DJ65" s="31">
        <v>0.92672413793103448</v>
      </c>
      <c r="DK65" s="31">
        <v>0.91407089151450049</v>
      </c>
      <c r="DL65" s="31">
        <v>0.91341991341991347</v>
      </c>
      <c r="DM65" s="31">
        <v>0.93297297297297299</v>
      </c>
      <c r="DN65" s="31">
        <v>0.91511768265071236</v>
      </c>
      <c r="DO65" s="31">
        <v>0.92332613390928731</v>
      </c>
      <c r="DP65" s="31">
        <v>0.93213149522799577</v>
      </c>
      <c r="DQ65" s="31">
        <v>0.89104638619201726</v>
      </c>
      <c r="DR65" s="31">
        <v>0.90710382513661203</v>
      </c>
      <c r="DS65" s="31">
        <v>0.92721518987341767</v>
      </c>
      <c r="DT65" s="31">
        <v>0.92690677966101698</v>
      </c>
      <c r="DU65" s="31">
        <v>0.93849416755037118</v>
      </c>
      <c r="DV65" s="31">
        <v>0.92088913965010266</v>
      </c>
      <c r="DW65" s="31">
        <v>0.91856677524429964</v>
      </c>
      <c r="DX65" s="31">
        <v>0.93073593073593075</v>
      </c>
      <c r="DY65" s="31">
        <v>0.89743589743589747</v>
      </c>
      <c r="DZ65" s="31">
        <v>0.91224268689057419</v>
      </c>
      <c r="EA65" s="31">
        <v>0.91883116883116878</v>
      </c>
      <c r="EB65" s="31">
        <v>0.93058568329718006</v>
      </c>
      <c r="EC65" s="31">
        <v>0.91923485653560044</v>
      </c>
      <c r="ED65" s="31">
        <v>0.91823328556723582</v>
      </c>
      <c r="EE65" s="31">
        <v>0.92561105207226357</v>
      </c>
      <c r="EF65" s="31">
        <v>0.93936170212765957</v>
      </c>
      <c r="EG65" s="31">
        <v>0.9216738197424893</v>
      </c>
      <c r="EH65" s="31">
        <v>0.90899581589958156</v>
      </c>
      <c r="EI65" s="31">
        <v>0.90588235294117647</v>
      </c>
      <c r="EJ65" s="31">
        <v>0.93023255813953487</v>
      </c>
      <c r="EK65" s="31">
        <v>0.90466101694915257</v>
      </c>
      <c r="EL65" s="31">
        <v>0.91948833112455108</v>
      </c>
    </row>
    <row r="66" spans="38:142" x14ac:dyDescent="0.35">
      <c r="AL66" s="19" t="s">
        <v>115</v>
      </c>
      <c r="AM66" s="31">
        <v>0.95211581291759462</v>
      </c>
      <c r="AN66" s="31">
        <v>0.9743303571428571</v>
      </c>
      <c r="AO66" s="31">
        <v>0.95819209039548026</v>
      </c>
      <c r="AP66" s="31">
        <v>0.96949152542372885</v>
      </c>
      <c r="AQ66" s="31">
        <v>0.97225305216426194</v>
      </c>
      <c r="AR66" s="31">
        <v>0.9701986754966887</v>
      </c>
      <c r="AS66" s="31">
        <v>1</v>
      </c>
      <c r="AT66" s="31">
        <v>0.97094021622008742</v>
      </c>
      <c r="AU66" s="31">
        <v>0.95754189944134083</v>
      </c>
      <c r="AV66" s="31">
        <v>0.97977528089887644</v>
      </c>
      <c r="AW66" s="31">
        <v>0.95033860045146723</v>
      </c>
      <c r="AX66" s="31">
        <v>0.9670079635949943</v>
      </c>
      <c r="AY66" s="31">
        <v>0.97750281214848145</v>
      </c>
      <c r="AZ66" s="31">
        <v>0.98096304591265393</v>
      </c>
      <c r="BA66" s="31">
        <v>0.96853932584269664</v>
      </c>
      <c r="BB66" s="31">
        <v>0.96880984689864458</v>
      </c>
      <c r="BC66" s="31">
        <v>0.98218262806236079</v>
      </c>
      <c r="BD66" s="31">
        <v>0.97081930415263751</v>
      </c>
      <c r="BE66" s="31">
        <v>0.95950506186726658</v>
      </c>
      <c r="BF66" s="31">
        <v>0.96860986547085204</v>
      </c>
      <c r="BG66" s="31">
        <v>0.98230088495575218</v>
      </c>
      <c r="BH66" s="31">
        <v>0.99109131403118045</v>
      </c>
      <c r="BI66" s="31">
        <v>0.9989059080962801</v>
      </c>
      <c r="BJ66" s="31">
        <v>0.97905928094804717</v>
      </c>
      <c r="BK66" s="31">
        <v>0.93119266055045868</v>
      </c>
      <c r="BL66" s="31">
        <v>0.95838020247469069</v>
      </c>
      <c r="BM66" s="31">
        <v>1</v>
      </c>
      <c r="BN66" s="31">
        <v>0.8834498834498834</v>
      </c>
      <c r="BO66" s="31">
        <v>0.93135011441647597</v>
      </c>
      <c r="BP66" s="31">
        <v>0.9536199095022625</v>
      </c>
      <c r="BQ66" s="31">
        <v>0.949438202247191</v>
      </c>
      <c r="BR66" s="31">
        <v>0.94391871037728037</v>
      </c>
      <c r="BS66" s="31">
        <v>0.97497155858930606</v>
      </c>
      <c r="BT66" s="31">
        <v>0.93953488372093019</v>
      </c>
      <c r="BU66" s="31">
        <v>0.95701357466063353</v>
      </c>
      <c r="BV66" s="31">
        <v>0.95490417136414885</v>
      </c>
      <c r="BW66" s="31">
        <v>0.98639455782312924</v>
      </c>
      <c r="BX66" s="31">
        <v>0.9481566820276498</v>
      </c>
      <c r="BY66" s="31">
        <v>0.96219931271477666</v>
      </c>
      <c r="BZ66" s="31">
        <v>0.96045353441436776</v>
      </c>
      <c r="CA66" s="31">
        <v>0.98892580287929122</v>
      </c>
      <c r="CB66" s="31">
        <v>0.9732142857142857</v>
      </c>
      <c r="CC66" s="31">
        <v>0.97312430011198203</v>
      </c>
      <c r="CD66" s="31">
        <v>0.97279651795429811</v>
      </c>
      <c r="CE66" s="31">
        <v>0.9845984598459846</v>
      </c>
      <c r="CF66" s="31">
        <v>0.97136563876651982</v>
      </c>
      <c r="CG66" s="31">
        <v>0.99005524861878458</v>
      </c>
      <c r="CH66" s="31">
        <v>0.97915432198444941</v>
      </c>
      <c r="CI66" s="31">
        <v>0.98154180238870792</v>
      </c>
      <c r="CJ66" s="31">
        <v>0.99457700650759218</v>
      </c>
      <c r="CK66" s="31">
        <v>0.9588888888888889</v>
      </c>
      <c r="CL66" s="31">
        <v>1</v>
      </c>
      <c r="CM66" s="31">
        <v>0.9804772234273319</v>
      </c>
      <c r="CN66" s="31">
        <v>0.98909487459105783</v>
      </c>
      <c r="CO66" s="31">
        <v>1</v>
      </c>
      <c r="CP66" s="31">
        <v>0.98636854225765425</v>
      </c>
      <c r="CQ66" s="31">
        <v>0.96807297605473208</v>
      </c>
      <c r="CR66" s="31">
        <v>0.98399999999999999</v>
      </c>
      <c r="CS66" s="31">
        <v>0.96836158192090394</v>
      </c>
      <c r="CT66" s="31">
        <v>0.98235942668136711</v>
      </c>
      <c r="CU66" s="31">
        <v>0.96730552423900784</v>
      </c>
      <c r="CV66" s="31">
        <v>0.97036223929747534</v>
      </c>
      <c r="CW66" s="31">
        <v>0.98039215686274506</v>
      </c>
      <c r="CX66" s="31">
        <v>0.97440770072231875</v>
      </c>
      <c r="CY66" s="31">
        <v>0.96136865342163358</v>
      </c>
      <c r="CZ66" s="31">
        <v>0.98351648351648346</v>
      </c>
      <c r="DA66" s="31">
        <v>0.95065789473684215</v>
      </c>
      <c r="DB66" s="31">
        <v>0.96183206106870234</v>
      </c>
      <c r="DC66" s="31">
        <v>0.9723145071982281</v>
      </c>
      <c r="DD66" s="31">
        <v>0.96271929824561409</v>
      </c>
      <c r="DE66" s="31">
        <v>0.98024149286498352</v>
      </c>
      <c r="DF66" s="31">
        <v>0.96752148443606967</v>
      </c>
      <c r="DG66" s="31">
        <v>0.97499999999999998</v>
      </c>
      <c r="DH66" s="31">
        <v>0.95887445887445888</v>
      </c>
      <c r="DI66" s="31">
        <v>1</v>
      </c>
      <c r="DJ66" s="31">
        <v>0.97469746974697469</v>
      </c>
      <c r="DK66" s="31">
        <v>0.96933187294633083</v>
      </c>
      <c r="DL66" s="31">
        <v>0.96510359869138496</v>
      </c>
      <c r="DM66" s="31">
        <v>0.96615720524017468</v>
      </c>
      <c r="DN66" s="31">
        <v>0.97273780078561767</v>
      </c>
      <c r="DO66" s="31">
        <v>0.96936542669584247</v>
      </c>
      <c r="DP66" s="31">
        <v>0.99348534201954397</v>
      </c>
      <c r="DQ66" s="31">
        <v>0.9668874172185431</v>
      </c>
      <c r="DR66" s="31">
        <v>0.96827133479212257</v>
      </c>
      <c r="DS66" s="31">
        <v>0.97587719298245612</v>
      </c>
      <c r="DT66" s="31">
        <v>0.96405228758169936</v>
      </c>
      <c r="DU66" s="31">
        <v>0.97579757975797576</v>
      </c>
      <c r="DV66" s="31">
        <v>0.97339094014974048</v>
      </c>
      <c r="DW66" s="31">
        <v>0.98342541436464093</v>
      </c>
      <c r="DX66" s="31">
        <v>0.97995545657015593</v>
      </c>
      <c r="DY66" s="31">
        <v>0.96699669966996704</v>
      </c>
      <c r="DZ66" s="31">
        <v>0.95920617420066157</v>
      </c>
      <c r="EA66" s="31">
        <v>1</v>
      </c>
      <c r="EB66" s="31">
        <v>0.97560975609756095</v>
      </c>
      <c r="EC66" s="31">
        <v>0.97792494481236203</v>
      </c>
      <c r="ED66" s="31">
        <v>0.97758834938790695</v>
      </c>
      <c r="EE66" s="31">
        <v>0.97158469945355186</v>
      </c>
      <c r="EF66" s="31">
        <v>0.9668141592920354</v>
      </c>
      <c r="EG66" s="31">
        <v>0.95049504950495045</v>
      </c>
      <c r="EH66" s="31">
        <v>0.9678848283499446</v>
      </c>
      <c r="EI66" s="31">
        <v>0.97258771929824561</v>
      </c>
      <c r="EJ66" s="31">
        <v>0.95960698689956336</v>
      </c>
      <c r="EK66" s="31">
        <v>0.9705561613958561</v>
      </c>
      <c r="EL66" s="31">
        <v>0.96564708631344964</v>
      </c>
    </row>
    <row r="67" spans="38:142" x14ac:dyDescent="0.35">
      <c r="AL67" s="19" t="s">
        <v>280</v>
      </c>
      <c r="AM67" s="31">
        <v>0.85081967213114751</v>
      </c>
      <c r="AN67" s="31">
        <v>0.91539763113367179</v>
      </c>
      <c r="AO67" s="31">
        <v>0.85761589403973515</v>
      </c>
      <c r="AP67" s="31">
        <v>0.86499999999999999</v>
      </c>
      <c r="AQ67" s="31">
        <v>0.83966942148760326</v>
      </c>
      <c r="AR67" s="31">
        <v>0.91475409836065569</v>
      </c>
      <c r="AS67" s="31">
        <v>0.86842105263157898</v>
      </c>
      <c r="AT67" s="31">
        <v>0.87309682425491331</v>
      </c>
      <c r="AU67" s="31">
        <v>0.91570247933884297</v>
      </c>
      <c r="AV67" s="31">
        <v>0.87275693311582381</v>
      </c>
      <c r="AW67" s="31">
        <v>0.87933884297520659</v>
      </c>
      <c r="AX67" s="31">
        <v>0.89034369885433717</v>
      </c>
      <c r="AY67" s="31">
        <v>0.93596059113300489</v>
      </c>
      <c r="AZ67" s="31">
        <v>0.89967105263157898</v>
      </c>
      <c r="BA67" s="31">
        <v>0.91954022988505746</v>
      </c>
      <c r="BB67" s="31">
        <v>0.90190197541912176</v>
      </c>
      <c r="BC67" s="31">
        <v>0.90848585690515804</v>
      </c>
      <c r="BD67" s="31">
        <v>0.90359477124183007</v>
      </c>
      <c r="BE67" s="31">
        <v>0.87893864013266998</v>
      </c>
      <c r="BF67" s="31">
        <v>0.8968386023294509</v>
      </c>
      <c r="BG67" s="31">
        <v>0.91860465116279066</v>
      </c>
      <c r="BH67" s="31">
        <v>0.91980360065466449</v>
      </c>
      <c r="BI67" s="31">
        <v>0.92434210526315785</v>
      </c>
      <c r="BJ67" s="31">
        <v>0.90722974681281754</v>
      </c>
      <c r="BK67" s="31">
        <v>0.82993197278911568</v>
      </c>
      <c r="BL67" s="31">
        <v>0.90909090909090906</v>
      </c>
      <c r="BM67" s="31">
        <v>0.72727272727272729</v>
      </c>
      <c r="BN67" s="31">
        <v>0.77195945945945943</v>
      </c>
      <c r="BO67" s="31">
        <v>0.85856905158069885</v>
      </c>
      <c r="BP67" s="31">
        <v>0.91653027823240585</v>
      </c>
      <c r="BQ67" s="31">
        <v>0.89819376026272579</v>
      </c>
      <c r="BR67" s="31">
        <v>0.84450687981257744</v>
      </c>
      <c r="BS67" s="31">
        <v>0.90531561461794019</v>
      </c>
      <c r="BT67" s="31">
        <v>0.86212914485165792</v>
      </c>
      <c r="BU67" s="31">
        <v>0.87986463620981392</v>
      </c>
      <c r="BV67" s="31">
        <v>0.90404040404040409</v>
      </c>
      <c r="BW67" s="31">
        <v>0.92724196277495774</v>
      </c>
      <c r="BX67" s="31">
        <v>0.86212914485165792</v>
      </c>
      <c r="BY67" s="31">
        <v>0.89965986394557829</v>
      </c>
      <c r="BZ67" s="31">
        <v>0.89148296732743015</v>
      </c>
      <c r="CA67" s="31">
        <v>0.8928571428571429</v>
      </c>
      <c r="CB67" s="31">
        <v>0.91736930860033727</v>
      </c>
      <c r="CC67" s="31">
        <v>0.87070376432078556</v>
      </c>
      <c r="CD67" s="31">
        <v>0.90048939641109293</v>
      </c>
      <c r="CE67" s="31">
        <v>0.9357945425361156</v>
      </c>
      <c r="CF67" s="31">
        <v>0.91027732463295274</v>
      </c>
      <c r="CG67" s="31">
        <v>0.93800978792822187</v>
      </c>
      <c r="CH67" s="31">
        <v>0.90935732389809254</v>
      </c>
      <c r="CI67" s="31">
        <v>0.93870967741935485</v>
      </c>
      <c r="CJ67" s="31">
        <v>0.9285714285714286</v>
      </c>
      <c r="CK67" s="31">
        <v>0.92628205128205132</v>
      </c>
      <c r="CL67" s="31">
        <v>0.8956661316211878</v>
      </c>
      <c r="CM67" s="31">
        <v>0.93527508090614886</v>
      </c>
      <c r="CN67" s="31">
        <v>0.93841166936790921</v>
      </c>
      <c r="CO67" s="31">
        <v>0.92718446601941751</v>
      </c>
      <c r="CP67" s="31">
        <v>0.92715721502678528</v>
      </c>
      <c r="CQ67" s="31">
        <v>0.90614886731391586</v>
      </c>
      <c r="CR67" s="31">
        <v>0.90923824959481359</v>
      </c>
      <c r="CS67" s="31">
        <v>0.88206785137318255</v>
      </c>
      <c r="CT67" s="31">
        <v>0.88292682926829269</v>
      </c>
      <c r="CU67" s="31">
        <v>0.90343698854337151</v>
      </c>
      <c r="CV67" s="31">
        <v>0.91612903225806452</v>
      </c>
      <c r="CW67" s="31">
        <v>0.90145395799676897</v>
      </c>
      <c r="CX67" s="31">
        <v>0.90020025376405854</v>
      </c>
      <c r="CY67" s="31">
        <v>0.9092409240924092</v>
      </c>
      <c r="CZ67" s="31">
        <v>0.89722675367047311</v>
      </c>
      <c r="DA67" s="31">
        <v>0.88118811881188119</v>
      </c>
      <c r="DB67" s="31">
        <v>0.87848932676518887</v>
      </c>
      <c r="DC67" s="31">
        <v>0.88852459016393448</v>
      </c>
      <c r="DD67" s="31">
        <v>0.90460526315789469</v>
      </c>
      <c r="DE67" s="31">
        <v>0.86970684039087953</v>
      </c>
      <c r="DF67" s="31">
        <v>0.88985454529323726</v>
      </c>
      <c r="DG67" s="31">
        <v>0.89144736842105265</v>
      </c>
      <c r="DH67" s="31">
        <v>0.91085899513776336</v>
      </c>
      <c r="DI67" s="31">
        <v>0.89303079416531606</v>
      </c>
      <c r="DJ67" s="31">
        <v>0.88795986622073575</v>
      </c>
      <c r="DK67" s="31">
        <v>0.88870703764320791</v>
      </c>
      <c r="DL67" s="31">
        <v>0.9278688524590164</v>
      </c>
      <c r="DM67" s="31">
        <v>0.88524590163934425</v>
      </c>
      <c r="DN67" s="31">
        <v>0.89787411652663374</v>
      </c>
      <c r="DO67" s="31">
        <v>0.90202702702702697</v>
      </c>
      <c r="DP67" s="31">
        <v>0.89649415692821366</v>
      </c>
      <c r="DQ67" s="31">
        <v>0.93500000000000005</v>
      </c>
      <c r="DR67" s="31">
        <v>0.89768976897689767</v>
      </c>
      <c r="DS67" s="31">
        <v>0.90705679862306365</v>
      </c>
      <c r="DT67" s="31">
        <v>0.90909090909090906</v>
      </c>
      <c r="DU67" s="31">
        <v>0.92462311557788945</v>
      </c>
      <c r="DV67" s="31">
        <v>0.91028311088914293</v>
      </c>
      <c r="DW67" s="31">
        <v>0.91196013289036548</v>
      </c>
      <c r="DX67" s="31">
        <v>0.8925619834710744</v>
      </c>
      <c r="DY67" s="31">
        <v>0.90082644628099173</v>
      </c>
      <c r="DZ67" s="31">
        <v>0.90359477124183007</v>
      </c>
      <c r="EA67" s="31">
        <v>0.91980360065466449</v>
      </c>
      <c r="EB67" s="31">
        <v>0.92039800995024879</v>
      </c>
      <c r="EC67" s="31">
        <v>0.93884297520661153</v>
      </c>
      <c r="ED67" s="31">
        <v>0.91256970281368388</v>
      </c>
      <c r="EE67" s="31">
        <v>0.91993464052287577</v>
      </c>
      <c r="EF67" s="31">
        <v>0.91625615763546797</v>
      </c>
      <c r="EG67" s="31">
        <v>0.88888888888888884</v>
      </c>
      <c r="EH67" s="31">
        <v>0.89819376026272579</v>
      </c>
      <c r="EI67" s="31">
        <v>0.92635024549918166</v>
      </c>
      <c r="EJ67" s="31">
        <v>0.94243421052631582</v>
      </c>
      <c r="EK67" s="31">
        <v>0.94252873563218387</v>
      </c>
      <c r="EL67" s="31">
        <v>0.91922666270966291</v>
      </c>
    </row>
    <row r="68" spans="38:142" x14ac:dyDescent="0.35">
      <c r="AL68" s="19" t="s">
        <v>116</v>
      </c>
      <c r="AM68" s="31">
        <v>0.96120689655172409</v>
      </c>
      <c r="AN68" s="31">
        <v>0.978494623655914</v>
      </c>
      <c r="AO68" s="31" t="e">
        <v>#NUM!</v>
      </c>
      <c r="AP68" s="31">
        <v>0.96120689655172409</v>
      </c>
      <c r="AQ68" s="31">
        <v>0.96145610278372595</v>
      </c>
      <c r="AR68" s="31">
        <v>0.97463002114164909</v>
      </c>
      <c r="AS68" s="31">
        <v>0.96375266524520253</v>
      </c>
      <c r="AT68" s="31" t="e">
        <v>#NUM!</v>
      </c>
      <c r="AU68" s="31">
        <v>0.96129032258064517</v>
      </c>
      <c r="AV68" s="31">
        <v>0.95887445887445888</v>
      </c>
      <c r="AW68" s="31" t="e">
        <v>#NUM!</v>
      </c>
      <c r="AX68" s="31" t="e">
        <v>#NUM!</v>
      </c>
      <c r="AY68" s="31">
        <v>0.95913978494623653</v>
      </c>
      <c r="AZ68" s="31">
        <v>0.9568965517241379</v>
      </c>
      <c r="BA68" s="31">
        <v>0.96559139784946235</v>
      </c>
      <c r="BB68" s="31" t="e">
        <v>#NUM!</v>
      </c>
      <c r="BC68" s="31">
        <v>0.97228144989339016</v>
      </c>
      <c r="BD68" s="31">
        <v>0.97826086956521741</v>
      </c>
      <c r="BE68" s="31">
        <v>0.97228144989339016</v>
      </c>
      <c r="BF68" s="31">
        <v>0.967741935483871</v>
      </c>
      <c r="BG68" s="31">
        <v>0.98294243070362475</v>
      </c>
      <c r="BH68" s="31">
        <v>0.99566160520607372</v>
      </c>
      <c r="BI68" s="31">
        <v>0.967741935483871</v>
      </c>
      <c r="BJ68" s="31">
        <v>0.9767016680327768</v>
      </c>
      <c r="BK68" s="31">
        <v>0.96230598669623058</v>
      </c>
      <c r="BL68" s="31">
        <v>0.96336206896551724</v>
      </c>
      <c r="BM68" s="31">
        <v>0.96230598669623058</v>
      </c>
      <c r="BN68" s="31">
        <v>0.89347826086956517</v>
      </c>
      <c r="BO68" s="31">
        <v>0.9692982456140351</v>
      </c>
      <c r="BP68" s="31">
        <v>0.95474137931034486</v>
      </c>
      <c r="BQ68" s="31">
        <v>0.9611231101511879</v>
      </c>
      <c r="BR68" s="31">
        <v>0.95237357690044444</v>
      </c>
      <c r="BS68" s="31">
        <v>0.97546012269938653</v>
      </c>
      <c r="BT68" s="31">
        <v>0.95787139689578715</v>
      </c>
      <c r="BU68" s="31">
        <v>0.97546012269938653</v>
      </c>
      <c r="BV68" s="31">
        <v>0.97687861271676302</v>
      </c>
      <c r="BW68" s="31">
        <v>0.97693920335429774</v>
      </c>
      <c r="BX68" s="31">
        <v>0.98987854251012142</v>
      </c>
      <c r="BY68" s="31">
        <v>0.97234042553191491</v>
      </c>
      <c r="BZ68" s="31">
        <v>0.97497548948680823</v>
      </c>
      <c r="CA68" s="31">
        <v>0.9604166666666667</v>
      </c>
      <c r="CB68" s="31">
        <v>1</v>
      </c>
      <c r="CC68" s="31">
        <v>0.9604166666666667</v>
      </c>
      <c r="CD68" s="31">
        <v>0.9524793388429752</v>
      </c>
      <c r="CE68" s="31">
        <v>0.97330595482546201</v>
      </c>
      <c r="CF68" s="31">
        <v>1</v>
      </c>
      <c r="CG68" s="31">
        <v>1</v>
      </c>
      <c r="CH68" s="31">
        <v>0.97808837528596726</v>
      </c>
      <c r="CI68" s="31">
        <v>0.96421471172962225</v>
      </c>
      <c r="CJ68" s="31">
        <v>0.96280991735537191</v>
      </c>
      <c r="CK68" s="31">
        <v>0.95546558704453444</v>
      </c>
      <c r="CL68" s="31">
        <v>0.97160243407707914</v>
      </c>
      <c r="CM68" s="31">
        <v>0.96421471172962225</v>
      </c>
      <c r="CN68" s="31">
        <v>0.96734693877551026</v>
      </c>
      <c r="CO68" s="31">
        <v>0.96487603305785119</v>
      </c>
      <c r="CP68" s="31">
        <v>0.96436147625279867</v>
      </c>
      <c r="CQ68" s="31">
        <v>0.94038461538461537</v>
      </c>
      <c r="CR68" s="31">
        <v>0.96237623762376234</v>
      </c>
      <c r="CS68" s="31">
        <v>0.97709923664122134</v>
      </c>
      <c r="CT68" s="31">
        <v>0.94038461538461537</v>
      </c>
      <c r="CU68" s="31">
        <v>0.96987951807228912</v>
      </c>
      <c r="CV68" s="31">
        <v>0.98210735586481113</v>
      </c>
      <c r="CW68" s="31">
        <v>0.95783132530120485</v>
      </c>
      <c r="CX68" s="31">
        <v>0.96143755775321715</v>
      </c>
      <c r="CY68" s="31">
        <v>0.9637404580152672</v>
      </c>
      <c r="CZ68" s="31">
        <v>0.94368932038834952</v>
      </c>
      <c r="DA68" s="31">
        <v>0.98755186721991706</v>
      </c>
      <c r="DB68" s="31">
        <v>0.97465886939571145</v>
      </c>
      <c r="DC68" s="31">
        <v>0.96161228406909793</v>
      </c>
      <c r="DD68" s="31">
        <v>0.95551257253384914</v>
      </c>
      <c r="DE68" s="31">
        <v>0.96339113680154143</v>
      </c>
      <c r="DF68" s="31">
        <v>0.96430807263196194</v>
      </c>
      <c r="DG68" s="31">
        <v>0.95348837209302328</v>
      </c>
      <c r="DH68" s="31">
        <v>0.95126705653021437</v>
      </c>
      <c r="DI68" s="31">
        <v>0.95348837209302328</v>
      </c>
      <c r="DJ68" s="31">
        <v>0.94186046511627908</v>
      </c>
      <c r="DK68" s="31">
        <v>0.97480620155038755</v>
      </c>
      <c r="DL68" s="31">
        <v>0.96686159844054576</v>
      </c>
      <c r="DM68" s="31">
        <v>0.96124031007751942</v>
      </c>
      <c r="DN68" s="31">
        <v>0.95757319655728457</v>
      </c>
      <c r="DO68" s="31">
        <v>0.95882352941176474</v>
      </c>
      <c r="DP68" s="31">
        <v>0.96881091617933723</v>
      </c>
      <c r="DQ68" s="31">
        <v>0.96666666666666667</v>
      </c>
      <c r="DR68" s="31">
        <v>0.98039215686274506</v>
      </c>
      <c r="DS68" s="31">
        <v>0.96259842519685035</v>
      </c>
      <c r="DT68" s="31">
        <v>0.96881091617933723</v>
      </c>
      <c r="DU68" s="31">
        <v>0.97465886939571145</v>
      </c>
      <c r="DV68" s="31">
        <v>0.96868021141320182</v>
      </c>
      <c r="DW68" s="31">
        <v>0.96862745098039216</v>
      </c>
      <c r="DX68" s="31">
        <v>0.95857988165680474</v>
      </c>
      <c r="DY68" s="31">
        <v>0.98178137651821862</v>
      </c>
      <c r="DZ68" s="31">
        <v>0.98987854251012142</v>
      </c>
      <c r="EA68" s="31">
        <v>0.98192771084337349</v>
      </c>
      <c r="EB68" s="31">
        <v>0.96449704142011838</v>
      </c>
      <c r="EC68" s="31">
        <v>0.97420634920634919</v>
      </c>
      <c r="ED68" s="31">
        <v>0.97421405044791121</v>
      </c>
      <c r="EE68" s="31">
        <v>0.96463654223968565</v>
      </c>
      <c r="EF68" s="31">
        <v>0.97058823529411764</v>
      </c>
      <c r="EG68" s="31">
        <v>0.97872340425531912</v>
      </c>
      <c r="EH68" s="31">
        <v>0.97872340425531912</v>
      </c>
      <c r="EI68" s="31">
        <v>0.97647058823529409</v>
      </c>
      <c r="EJ68" s="31">
        <v>0.96666666666666667</v>
      </c>
      <c r="EK68" s="31">
        <v>0.98235294117647054</v>
      </c>
      <c r="EL68" s="31">
        <v>0.97402311173183898</v>
      </c>
    </row>
    <row r="69" spans="38:142" x14ac:dyDescent="0.35">
      <c r="AL69" s="19" t="s">
        <v>117</v>
      </c>
      <c r="AM69" s="31">
        <v>0.95348837209302328</v>
      </c>
      <c r="AN69" s="31">
        <v>0.83896620278330025</v>
      </c>
      <c r="AO69" s="31">
        <v>0.91881188118811885</v>
      </c>
      <c r="AP69" s="31">
        <v>0.9247524752475248</v>
      </c>
      <c r="AQ69" s="31">
        <v>0.94797687861271673</v>
      </c>
      <c r="AR69" s="31">
        <v>0.89068825910931171</v>
      </c>
      <c r="AS69" s="31">
        <v>0.96714579055441474</v>
      </c>
      <c r="AT69" s="31">
        <v>0.92026140851262994</v>
      </c>
      <c r="AU69" s="31">
        <v>0.95247148288973382</v>
      </c>
      <c r="AV69" s="31">
        <v>0.94789579158316628</v>
      </c>
      <c r="AW69" s="31">
        <v>0.88801571709233795</v>
      </c>
      <c r="AX69" s="31">
        <v>0.93186372745490986</v>
      </c>
      <c r="AY69" s="31">
        <v>0.97556390977443608</v>
      </c>
      <c r="AZ69" s="31">
        <v>0.96394686907020877</v>
      </c>
      <c r="BA69" s="31">
        <v>0.97159090909090906</v>
      </c>
      <c r="BB69" s="31">
        <v>0.94733548670795742</v>
      </c>
      <c r="BC69" s="31">
        <v>0.88610038610038611</v>
      </c>
      <c r="BD69" s="31">
        <v>0.91907514450867056</v>
      </c>
      <c r="BE69" s="31">
        <v>0.86804123711340209</v>
      </c>
      <c r="BF69" s="31">
        <v>0.89139344262295084</v>
      </c>
      <c r="BG69" s="31">
        <v>0.89534883720930236</v>
      </c>
      <c r="BH69" s="31">
        <v>0.94346978557504868</v>
      </c>
      <c r="BI69" s="31">
        <v>0.93663366336633669</v>
      </c>
      <c r="BJ69" s="31">
        <v>0.90572321378515674</v>
      </c>
      <c r="BK69" s="31">
        <v>0.85833333333333328</v>
      </c>
      <c r="BL69" s="31">
        <v>0.89514563106796119</v>
      </c>
      <c r="BM69" s="31">
        <v>0.75663716814159288</v>
      </c>
      <c r="BN69" s="31">
        <v>0.77173913043478259</v>
      </c>
      <c r="BO69" s="31">
        <v>0.8804123711340206</v>
      </c>
      <c r="BP69" s="31">
        <v>0.87372708757637474</v>
      </c>
      <c r="BQ69" s="31">
        <v>0.85148514851485146</v>
      </c>
      <c r="BR69" s="31">
        <v>0.8410685528861308</v>
      </c>
      <c r="BS69" s="31">
        <v>0.91194968553459121</v>
      </c>
      <c r="BT69" s="31">
        <v>0.84946236559139787</v>
      </c>
      <c r="BU69" s="31">
        <v>0.93965517241379315</v>
      </c>
      <c r="BV69" s="31">
        <v>0.90380761523046094</v>
      </c>
      <c r="BW69" s="31">
        <v>0.93089430894308944</v>
      </c>
      <c r="BX69" s="31">
        <v>0.93234672304439747</v>
      </c>
      <c r="BY69" s="31">
        <v>0.90593047034764829</v>
      </c>
      <c r="BZ69" s="31">
        <v>0.91057804872933978</v>
      </c>
      <c r="CA69" s="31">
        <v>0.93432203389830504</v>
      </c>
      <c r="CB69" s="31">
        <v>0.9423868312757202</v>
      </c>
      <c r="CC69" s="31">
        <v>0.90103092783505156</v>
      </c>
      <c r="CD69" s="31">
        <v>0.95454545454545459</v>
      </c>
      <c r="CE69" s="31">
        <v>0.91832669322709159</v>
      </c>
      <c r="CF69" s="31">
        <v>0.94572025052192066</v>
      </c>
      <c r="CG69" s="31">
        <v>0.94563106796116503</v>
      </c>
      <c r="CH69" s="31">
        <v>0.93456617989495849</v>
      </c>
      <c r="CI69" s="31">
        <v>0.8917322834645669</v>
      </c>
      <c r="CJ69" s="31">
        <v>0.89878542510121462</v>
      </c>
      <c r="CK69" s="31">
        <v>0.85771543086172342</v>
      </c>
      <c r="CL69" s="31">
        <v>0.85487077534791256</v>
      </c>
      <c r="CM69" s="31">
        <v>0.90384615384615385</v>
      </c>
      <c r="CN69" s="31">
        <v>0.9408163265306122</v>
      </c>
      <c r="CO69" s="31">
        <v>0.90873015873015872</v>
      </c>
      <c r="CP69" s="31">
        <v>0.89378522198319188</v>
      </c>
      <c r="CQ69" s="31">
        <v>0.85907335907335902</v>
      </c>
      <c r="CR69" s="31">
        <v>0.88295687885010266</v>
      </c>
      <c r="CS69" s="31">
        <v>0.84830339321357284</v>
      </c>
      <c r="CT69" s="31">
        <v>0.87968441814595666</v>
      </c>
      <c r="CU69" s="31">
        <v>0.8984375</v>
      </c>
      <c r="CV69" s="31">
        <v>0.88362919132149897</v>
      </c>
      <c r="CW69" s="31">
        <v>0.86444007858546168</v>
      </c>
      <c r="CX69" s="31">
        <v>0.8737892598842788</v>
      </c>
      <c r="CY69" s="31">
        <v>0.91456310679611652</v>
      </c>
      <c r="CZ69" s="31">
        <v>0.91585127201565553</v>
      </c>
      <c r="DA69" s="31">
        <v>0.88667992047713717</v>
      </c>
      <c r="DB69" s="31">
        <v>0.87524366471734893</v>
      </c>
      <c r="DC69" s="31">
        <v>0.9148073022312373</v>
      </c>
      <c r="DD69" s="31">
        <v>0.9221789883268483</v>
      </c>
      <c r="DE69" s="31">
        <v>0.91379310344827591</v>
      </c>
      <c r="DF69" s="31">
        <v>0.90615962257323146</v>
      </c>
      <c r="DG69" s="31">
        <v>0.85288270377733599</v>
      </c>
      <c r="DH69" s="31">
        <v>0.86587771203155817</v>
      </c>
      <c r="DI69" s="31">
        <v>0.84812623274161736</v>
      </c>
      <c r="DJ69" s="31">
        <v>0.83201581027667981</v>
      </c>
      <c r="DK69" s="31">
        <v>0.88329979879275655</v>
      </c>
      <c r="DL69" s="31">
        <v>0.86363636363636365</v>
      </c>
      <c r="DM69" s="31">
        <v>0.88408644400785852</v>
      </c>
      <c r="DN69" s="31">
        <v>0.86141786646631002</v>
      </c>
      <c r="DO69" s="31">
        <v>0.86982248520710059</v>
      </c>
      <c r="DP69" s="31">
        <v>0.85573122529644263</v>
      </c>
      <c r="DQ69" s="31">
        <v>0.85940594059405939</v>
      </c>
      <c r="DR69" s="31">
        <v>0.84126984126984128</v>
      </c>
      <c r="DS69" s="31">
        <v>0.90513833992094861</v>
      </c>
      <c r="DT69" s="31">
        <v>0.87329434697855746</v>
      </c>
      <c r="DU69" s="31">
        <v>0.87896825396825395</v>
      </c>
      <c r="DV69" s="31">
        <v>0.86909006189074334</v>
      </c>
      <c r="DW69" s="31">
        <v>0.86293436293436299</v>
      </c>
      <c r="DX69" s="31">
        <v>0.89628180039138938</v>
      </c>
      <c r="DY69" s="31">
        <v>0.84344422700587085</v>
      </c>
      <c r="DZ69" s="31">
        <v>0.85199999999999998</v>
      </c>
      <c r="EA69" s="31">
        <v>0.91279069767441856</v>
      </c>
      <c r="EB69" s="31">
        <v>0.92292870905587665</v>
      </c>
      <c r="EC69" s="31">
        <v>0.8990476190476191</v>
      </c>
      <c r="ED69" s="31">
        <v>0.88420391658707687</v>
      </c>
      <c r="EE69" s="31">
        <v>0.902970297029703</v>
      </c>
      <c r="EF69" s="31">
        <v>0.84799999999999998</v>
      </c>
      <c r="EG69" s="31">
        <v>0.83433133732534925</v>
      </c>
      <c r="EH69" s="31">
        <v>0.83139534883720934</v>
      </c>
      <c r="EI69" s="31">
        <v>0.892578125</v>
      </c>
      <c r="EJ69" s="31">
        <v>0.89151873767258383</v>
      </c>
      <c r="EK69" s="31">
        <v>0.88932806324110669</v>
      </c>
      <c r="EL69" s="31">
        <v>0.87001741558656465</v>
      </c>
    </row>
    <row r="70" spans="38:142" x14ac:dyDescent="0.35">
      <c r="AL70" s="19" t="s">
        <v>118</v>
      </c>
      <c r="AM70" s="31">
        <v>0.94585253456221197</v>
      </c>
      <c r="AN70" s="31">
        <v>0.93896713615023475</v>
      </c>
      <c r="AO70" s="31">
        <v>0.93960511033681771</v>
      </c>
      <c r="AP70" s="31">
        <v>0.95480880648899191</v>
      </c>
      <c r="AQ70" s="31">
        <v>0.96543778801843316</v>
      </c>
      <c r="AR70" s="31">
        <v>0.94682080924855494</v>
      </c>
      <c r="AS70" s="31">
        <v>0.96976744186046515</v>
      </c>
      <c r="AT70" s="31">
        <v>0.95160851809510127</v>
      </c>
      <c r="AU70" s="31">
        <v>0.95771428571428574</v>
      </c>
      <c r="AV70" s="31">
        <v>0.97004608294930872</v>
      </c>
      <c r="AW70" s="31">
        <v>0.96219931271477666</v>
      </c>
      <c r="AX70" s="31">
        <v>0.96670493685419057</v>
      </c>
      <c r="AY70" s="31">
        <v>0.97241379310344822</v>
      </c>
      <c r="AZ70" s="31">
        <v>0.97123130034522442</v>
      </c>
      <c r="BA70" s="31">
        <v>0.97008055235903334</v>
      </c>
      <c r="BB70" s="31">
        <v>0.96719860914860967</v>
      </c>
      <c r="BC70" s="31">
        <v>0.97552447552447552</v>
      </c>
      <c r="BD70" s="31">
        <v>0.97146118721461183</v>
      </c>
      <c r="BE70" s="31">
        <v>0.92665890570430731</v>
      </c>
      <c r="BF70" s="31">
        <v>0.93247962747380675</v>
      </c>
      <c r="BG70" s="31">
        <v>0.96032672112018669</v>
      </c>
      <c r="BH70" s="31">
        <v>0.98512585812356979</v>
      </c>
      <c r="BI70" s="31">
        <v>0.96651270207852191</v>
      </c>
      <c r="BJ70" s="31">
        <v>0.95972706817706865</v>
      </c>
      <c r="BK70" s="31">
        <v>0.92065344224037338</v>
      </c>
      <c r="BL70" s="31">
        <v>0.94152046783625731</v>
      </c>
      <c r="BM70" s="31">
        <v>0.79137529137529139</v>
      </c>
      <c r="BN70" s="31">
        <v>0.86002372479240807</v>
      </c>
      <c r="BO70" s="31">
        <v>0.92773892773892774</v>
      </c>
      <c r="BP70" s="31">
        <v>0.92441860465116277</v>
      </c>
      <c r="BQ70" s="31">
        <v>0.94049008168028003</v>
      </c>
      <c r="BR70" s="31">
        <v>0.90088864861638573</v>
      </c>
      <c r="BS70" s="31">
        <v>0.95961995249406173</v>
      </c>
      <c r="BT70" s="31">
        <v>0.91090269636576793</v>
      </c>
      <c r="BU70" s="31">
        <v>0.94131736526946108</v>
      </c>
      <c r="BV70" s="31">
        <v>0.96398559423769503</v>
      </c>
      <c r="BW70" s="31">
        <v>0.94371257485029936</v>
      </c>
      <c r="BX70" s="31">
        <v>0.94145199063231855</v>
      </c>
      <c r="BY70" s="31">
        <v>0.94145199063231855</v>
      </c>
      <c r="BZ70" s="31">
        <v>0.94320602349741733</v>
      </c>
      <c r="CA70" s="31">
        <v>0.98222748815165872</v>
      </c>
      <c r="CB70" s="31">
        <v>0.97872340425531912</v>
      </c>
      <c r="CC70" s="31">
        <v>0.93034238488783938</v>
      </c>
      <c r="CD70" s="31">
        <v>0.9772182254196643</v>
      </c>
      <c r="CE70" s="31">
        <v>0.97517730496453903</v>
      </c>
      <c r="CF70" s="31">
        <v>0.98498845265588919</v>
      </c>
      <c r="CG70" s="31">
        <v>0.99178403755868549</v>
      </c>
      <c r="CH70" s="31">
        <v>0.9743516139847993</v>
      </c>
      <c r="CI70" s="31">
        <v>0.94392523364485981</v>
      </c>
      <c r="CJ70" s="31">
        <v>0.97511848341232232</v>
      </c>
      <c r="CK70" s="31">
        <v>0.91843971631205679</v>
      </c>
      <c r="CL70" s="31">
        <v>0.93697978596908438</v>
      </c>
      <c r="CM70" s="31">
        <v>0.95704057279236276</v>
      </c>
      <c r="CN70" s="31">
        <v>0.9774346793349169</v>
      </c>
      <c r="CO70" s="31">
        <v>0.97111913357400725</v>
      </c>
      <c r="CP70" s="31">
        <v>0.9542939435770873</v>
      </c>
      <c r="CQ70" s="31">
        <v>0.95662368112543961</v>
      </c>
      <c r="CR70" s="31">
        <v>0.9657210401891253</v>
      </c>
      <c r="CS70" s="31">
        <v>0.9431952662721893</v>
      </c>
      <c r="CT70" s="31">
        <v>0.92772511848341233</v>
      </c>
      <c r="CU70" s="31">
        <v>0.95647058823529407</v>
      </c>
      <c r="CV70" s="31">
        <v>0.96694214876033058</v>
      </c>
      <c r="CW70" s="31">
        <v>0.94255568581477145</v>
      </c>
      <c r="CX70" s="31">
        <v>0.95131907555436612</v>
      </c>
      <c r="CY70" s="31">
        <v>0.95155709342560557</v>
      </c>
      <c r="CZ70" s="31">
        <v>0.96449704142011838</v>
      </c>
      <c r="DA70" s="31">
        <v>0.93626882966396296</v>
      </c>
      <c r="DB70" s="31">
        <v>0.94496487119437944</v>
      </c>
      <c r="DC70" s="31">
        <v>0.97082847141190198</v>
      </c>
      <c r="DD70" s="31">
        <v>0.97862232779097391</v>
      </c>
      <c r="DE70" s="31">
        <v>0.95165094339622647</v>
      </c>
      <c r="DF70" s="31">
        <v>0.9569127969004525</v>
      </c>
      <c r="DG70" s="31">
        <v>0.97754137115839246</v>
      </c>
      <c r="DH70" s="31">
        <v>0.98150289017341041</v>
      </c>
      <c r="DI70" s="31">
        <v>0.96094674556213022</v>
      </c>
      <c r="DJ70" s="31">
        <v>0.96085409252669041</v>
      </c>
      <c r="DK70" s="31">
        <v>0.97426900584795317</v>
      </c>
      <c r="DL70" s="31">
        <v>0.96651270207852191</v>
      </c>
      <c r="DM70" s="31">
        <v>0.98479532163742689</v>
      </c>
      <c r="DN70" s="31">
        <v>0.97234601842636081</v>
      </c>
      <c r="DO70" s="31">
        <v>0.96856810244470315</v>
      </c>
      <c r="DP70" s="31">
        <v>0.95857307249712309</v>
      </c>
      <c r="DQ70" s="31">
        <v>0.94579008073817761</v>
      </c>
      <c r="DR70" s="31">
        <v>0.94557823129251706</v>
      </c>
      <c r="DS70" s="31">
        <v>0.97331786542923437</v>
      </c>
      <c r="DT70" s="31">
        <v>0.95930232558139539</v>
      </c>
      <c r="DU70" s="31">
        <v>0.96382730455075849</v>
      </c>
      <c r="DV70" s="31">
        <v>0.95927956893341559</v>
      </c>
      <c r="DW70" s="31">
        <v>0.95895096921322687</v>
      </c>
      <c r="DX70" s="31">
        <v>0.95302013422818788</v>
      </c>
      <c r="DY70" s="31">
        <v>0.93340987370838113</v>
      </c>
      <c r="DZ70" s="31">
        <v>0.93181818181818177</v>
      </c>
      <c r="EA70" s="31">
        <v>0.98061573546180159</v>
      </c>
      <c r="EB70" s="31">
        <v>0.97306397306397308</v>
      </c>
      <c r="EC70" s="31">
        <v>0.97632468996617816</v>
      </c>
      <c r="ED70" s="31">
        <v>0.95817193677999002</v>
      </c>
      <c r="EE70" s="31">
        <v>0.93686583990980832</v>
      </c>
      <c r="EF70" s="31">
        <v>0.9523269012485811</v>
      </c>
      <c r="EG70" s="31">
        <v>0.91402714932126694</v>
      </c>
      <c r="EH70" s="31">
        <v>0.9163841807909604</v>
      </c>
      <c r="EI70" s="31">
        <v>0.92185730464326165</v>
      </c>
      <c r="EJ70" s="31">
        <v>0.95676905574516491</v>
      </c>
      <c r="EK70" s="31">
        <v>0.94450736126840318</v>
      </c>
      <c r="EL70" s="31">
        <v>0.93467682756106385</v>
      </c>
    </row>
    <row r="71" spans="38:142" x14ac:dyDescent="0.35">
      <c r="AL71" s="19" t="s">
        <v>119</v>
      </c>
      <c r="AM71" s="31">
        <v>0.95710059171597628</v>
      </c>
      <c r="AN71" s="31">
        <v>0.9642857142857143</v>
      </c>
      <c r="AO71" s="31">
        <v>0.94144144144144148</v>
      </c>
      <c r="AP71" s="31">
        <v>0.93871449925261585</v>
      </c>
      <c r="AQ71" s="31">
        <v>0.96328928046989726</v>
      </c>
      <c r="AR71" s="31">
        <v>0.96846846846846846</v>
      </c>
      <c r="AS71" s="31">
        <v>0.98516320474777452</v>
      </c>
      <c r="AT71" s="31">
        <v>0.95978045719741256</v>
      </c>
      <c r="AU71" s="31">
        <v>0.97633136094674555</v>
      </c>
      <c r="AV71" s="31">
        <v>0.94152923538230882</v>
      </c>
      <c r="AW71" s="31">
        <v>0.96081277213352689</v>
      </c>
      <c r="AX71" s="31">
        <v>0.95857988165680474</v>
      </c>
      <c r="AY71" s="31">
        <v>0.98484848484848486</v>
      </c>
      <c r="AZ71" s="31">
        <v>0.98942598187311182</v>
      </c>
      <c r="BA71" s="31">
        <v>0.97435897435897434</v>
      </c>
      <c r="BB71" s="31">
        <v>0.96941238445713673</v>
      </c>
      <c r="BC71" s="31">
        <v>0.94512195121951215</v>
      </c>
      <c r="BD71" s="31">
        <v>0.96884272997032639</v>
      </c>
      <c r="BE71" s="31">
        <v>0.94785276073619629</v>
      </c>
      <c r="BF71" s="31">
        <v>0.94108527131782949</v>
      </c>
      <c r="BG71" s="31">
        <v>0.94242424242424239</v>
      </c>
      <c r="BH71" s="31">
        <v>0.96965098634294389</v>
      </c>
      <c r="BI71" s="31">
        <v>0.96018376722817766</v>
      </c>
      <c r="BJ71" s="31">
        <v>0.95359452989131832</v>
      </c>
      <c r="BK71" s="31">
        <v>0.95</v>
      </c>
      <c r="BL71" s="31">
        <v>0.96012269938650308</v>
      </c>
      <c r="BM71" s="31">
        <v>0.90266875981161698</v>
      </c>
      <c r="BN71" s="31">
        <v>0.92150706436420726</v>
      </c>
      <c r="BO71" s="31">
        <v>0.94859813084112155</v>
      </c>
      <c r="BP71" s="31">
        <v>0.97674418604651159</v>
      </c>
      <c r="BQ71" s="31">
        <v>0.95348837209302328</v>
      </c>
      <c r="BR71" s="31">
        <v>0.9447327446489977</v>
      </c>
      <c r="BS71" s="31">
        <v>0.95531587057010781</v>
      </c>
      <c r="BT71" s="31">
        <v>0.93196202531645567</v>
      </c>
      <c r="BU71" s="31">
        <v>0.96394984326018807</v>
      </c>
      <c r="BV71" s="31">
        <v>0.93583724569640059</v>
      </c>
      <c r="BW71" s="31">
        <v>0.96084337349397586</v>
      </c>
      <c r="BX71" s="31">
        <v>0.97368421052631582</v>
      </c>
      <c r="BY71" s="31">
        <v>0.96978851963746227</v>
      </c>
      <c r="BZ71" s="31">
        <v>0.95591158407155796</v>
      </c>
      <c r="CA71" s="31">
        <v>0.9538461538461539</v>
      </c>
      <c r="CB71" s="31">
        <v>0.9397217928902627</v>
      </c>
      <c r="CC71" s="31">
        <v>0.94333843797856054</v>
      </c>
      <c r="CD71" s="31">
        <v>0.95839753466872113</v>
      </c>
      <c r="CE71" s="31">
        <v>0.96499238964992384</v>
      </c>
      <c r="CF71" s="31">
        <v>0.95638629283489096</v>
      </c>
      <c r="CG71" s="31">
        <v>0.96261682242990654</v>
      </c>
      <c r="CH71" s="31">
        <v>0.9541856320426314</v>
      </c>
      <c r="CI71" s="31">
        <v>0.91705069124423966</v>
      </c>
      <c r="CJ71" s="31">
        <v>0.95839753466872113</v>
      </c>
      <c r="CK71" s="31">
        <v>0.93573667711598751</v>
      </c>
      <c r="CL71" s="31">
        <v>0.95334370139968894</v>
      </c>
      <c r="CM71" s="31">
        <v>0.9499241274658573</v>
      </c>
      <c r="CN71" s="31">
        <v>0.96726190476190477</v>
      </c>
      <c r="CO71" s="31">
        <v>0.94469357249626307</v>
      </c>
      <c r="CP71" s="31">
        <v>0.94662974416466616</v>
      </c>
      <c r="CQ71" s="31">
        <v>0.93640699523052462</v>
      </c>
      <c r="CR71" s="31">
        <v>0.96583850931677018</v>
      </c>
      <c r="CS71" s="31">
        <v>0.93699515347334406</v>
      </c>
      <c r="CT71" s="31">
        <v>0.93225806451612903</v>
      </c>
      <c r="CU71" s="31">
        <v>0.9500780031201248</v>
      </c>
      <c r="CV71" s="31">
        <v>0.96578538102643852</v>
      </c>
      <c r="CW71" s="31">
        <v>0.96677215189873422</v>
      </c>
      <c r="CX71" s="31">
        <v>0.95059060836886644</v>
      </c>
      <c r="CY71" s="31">
        <v>0.94098883572567782</v>
      </c>
      <c r="CZ71" s="31">
        <v>0.95707472178060415</v>
      </c>
      <c r="DA71" s="31">
        <v>0.94230769230769229</v>
      </c>
      <c r="DB71" s="31">
        <v>0.93858267716535437</v>
      </c>
      <c r="DC71" s="31">
        <v>0.95454545454545459</v>
      </c>
      <c r="DD71" s="31">
        <v>0.94936708860759489</v>
      </c>
      <c r="DE71" s="31">
        <v>0.96069182389937102</v>
      </c>
      <c r="DF71" s="31">
        <v>0.94907975629024988</v>
      </c>
      <c r="DG71" s="31">
        <v>0.93583724569640059</v>
      </c>
      <c r="DH71" s="31">
        <v>0.95937499999999998</v>
      </c>
      <c r="DI71" s="31">
        <v>0.90406504065040649</v>
      </c>
      <c r="DJ71" s="31">
        <v>0.89633173843700165</v>
      </c>
      <c r="DK71" s="31">
        <v>0.93146417445482865</v>
      </c>
      <c r="DL71" s="31">
        <v>0.96850393700787396</v>
      </c>
      <c r="DM71" s="31">
        <v>0.97200622083981336</v>
      </c>
      <c r="DN71" s="31">
        <v>0.93822619386947503</v>
      </c>
      <c r="DO71" s="31">
        <v>0.9347133757961783</v>
      </c>
      <c r="DP71" s="31">
        <v>0.95774647887323938</v>
      </c>
      <c r="DQ71" s="31">
        <v>0.89628482972136225</v>
      </c>
      <c r="DR71" s="31">
        <v>0.90575079872204478</v>
      </c>
      <c r="DS71" s="31">
        <v>0.93769968051118213</v>
      </c>
      <c r="DT71" s="31">
        <v>0.96562499999999996</v>
      </c>
      <c r="DU71" s="31">
        <v>0.96513470681458002</v>
      </c>
      <c r="DV71" s="31">
        <v>0.93756498149122669</v>
      </c>
      <c r="DW71" s="31">
        <v>0.95148669796557117</v>
      </c>
      <c r="DX71" s="31">
        <v>0.94883720930232562</v>
      </c>
      <c r="DY71" s="31">
        <v>0.93799682034976151</v>
      </c>
      <c r="DZ71" s="31">
        <v>0.91185897435897434</v>
      </c>
      <c r="EA71" s="31">
        <v>0.93508500772797531</v>
      </c>
      <c r="EB71" s="31">
        <v>0.96099843993759748</v>
      </c>
      <c r="EC71" s="31">
        <v>0.95846153846153848</v>
      </c>
      <c r="ED71" s="31">
        <v>0.94353209830053486</v>
      </c>
      <c r="EE71" s="31">
        <v>0.90307692307692311</v>
      </c>
      <c r="EF71" s="31">
        <v>0.96879875195007803</v>
      </c>
      <c r="EG71" s="31">
        <v>0.92097264437689974</v>
      </c>
      <c r="EH71" s="31">
        <v>0.94832826747720367</v>
      </c>
      <c r="EI71" s="31">
        <v>0.91879699248120306</v>
      </c>
      <c r="EJ71" s="31">
        <v>0.96529968454258674</v>
      </c>
      <c r="EK71" s="31">
        <v>0.9363636363636364</v>
      </c>
      <c r="EL71" s="31">
        <v>0.9373767000383616</v>
      </c>
    </row>
    <row r="72" spans="38:142" x14ac:dyDescent="0.35">
      <c r="AL72" s="19" t="s">
        <v>335</v>
      </c>
      <c r="AM72" s="31">
        <v>0.86744639376218324</v>
      </c>
      <c r="AN72" s="31">
        <v>0.88154450261780104</v>
      </c>
      <c r="AO72" s="31">
        <v>0.84665367121507473</v>
      </c>
      <c r="AP72" s="31">
        <v>0.89862655330281227</v>
      </c>
      <c r="AQ72" s="31">
        <v>0.85332464146023468</v>
      </c>
      <c r="AR72" s="31">
        <v>0.86271958360442424</v>
      </c>
      <c r="AS72" s="31">
        <v>0.8575129533678757</v>
      </c>
      <c r="AT72" s="31">
        <v>0.86683261419005808</v>
      </c>
      <c r="AU72" s="31">
        <v>0.86521181001283698</v>
      </c>
      <c r="AV72" s="31">
        <v>0.8921377517868746</v>
      </c>
      <c r="AW72" s="31">
        <v>0.90335051546391754</v>
      </c>
      <c r="AX72" s="31">
        <v>0.91519895629484671</v>
      </c>
      <c r="AY72" s="31">
        <v>0.87012987012987009</v>
      </c>
      <c r="AZ72" s="31">
        <v>0.91228070175438591</v>
      </c>
      <c r="BA72" s="31">
        <v>0.93062041360907266</v>
      </c>
      <c r="BB72" s="31">
        <v>0.89841857415025772</v>
      </c>
      <c r="BC72" s="31">
        <v>0.85377049180327869</v>
      </c>
      <c r="BD72" s="31">
        <v>0.90071382219338092</v>
      </c>
      <c r="BE72" s="31">
        <v>0.83790849673202616</v>
      </c>
      <c r="BF72" s="31">
        <v>0.87294272547728768</v>
      </c>
      <c r="BG72" s="31">
        <v>0.85048543689320388</v>
      </c>
      <c r="BH72" s="31">
        <v>0.89141742522756828</v>
      </c>
      <c r="BI72" s="31">
        <v>0.87055016181229772</v>
      </c>
      <c r="BJ72" s="31">
        <v>0.86825550859129197</v>
      </c>
      <c r="BK72" s="31">
        <v>0.80381830151415401</v>
      </c>
      <c r="BL72" s="31">
        <v>0.85779816513761464</v>
      </c>
      <c r="BM72" s="31">
        <v>0.76272306675479185</v>
      </c>
      <c r="BN72" s="31">
        <v>0.3711615487316422</v>
      </c>
      <c r="BO72" s="31">
        <v>0.89566929133858264</v>
      </c>
      <c r="BP72" s="31">
        <v>0.85780118499012503</v>
      </c>
      <c r="BQ72" s="31">
        <v>0.83562540929927964</v>
      </c>
      <c r="BR72" s="31">
        <v>0.76922813825231273</v>
      </c>
      <c r="BS72" s="31">
        <v>0.87442472057856668</v>
      </c>
      <c r="BT72" s="31">
        <v>0.78220451527224433</v>
      </c>
      <c r="BU72" s="31">
        <v>0.82356813693219222</v>
      </c>
      <c r="BV72" s="31">
        <v>0.85284499672988878</v>
      </c>
      <c r="BW72" s="31">
        <v>0.88141239173884078</v>
      </c>
      <c r="BX72" s="31">
        <v>0.80623755806237563</v>
      </c>
      <c r="BY72" s="31">
        <v>0.82866449511400653</v>
      </c>
      <c r="BZ72" s="31">
        <v>0.83562240206115934</v>
      </c>
      <c r="CA72" s="31">
        <v>0.85920104780615592</v>
      </c>
      <c r="CB72" s="31">
        <v>0.87467362924281988</v>
      </c>
      <c r="CC72" s="31">
        <v>0.83692106979778214</v>
      </c>
      <c r="CD72" s="31">
        <v>0.84788189987163032</v>
      </c>
      <c r="CE72" s="31">
        <v>0.8471047495120364</v>
      </c>
      <c r="CF72" s="31">
        <v>0.87018917155903452</v>
      </c>
      <c r="CG72" s="31">
        <v>0.86242699545749513</v>
      </c>
      <c r="CH72" s="31">
        <v>0.85691408046385065</v>
      </c>
      <c r="CI72" s="31">
        <v>0.88044184535412606</v>
      </c>
      <c r="CJ72" s="31">
        <v>0.88713910761154857</v>
      </c>
      <c r="CK72" s="31">
        <v>0.83126226291693917</v>
      </c>
      <c r="CL72" s="31">
        <v>0.86337020169160705</v>
      </c>
      <c r="CM72" s="31">
        <v>0.84434270765206021</v>
      </c>
      <c r="CN72" s="31">
        <v>0.86893840104849274</v>
      </c>
      <c r="CO72" s="31">
        <v>0.85621340273259594</v>
      </c>
      <c r="CP72" s="31">
        <v>0.86167256128676706</v>
      </c>
      <c r="CQ72" s="31">
        <v>0.91067961165048539</v>
      </c>
      <c r="CR72" s="31">
        <v>0.89027595269382387</v>
      </c>
      <c r="CS72" s="31">
        <v>0.83420026007802339</v>
      </c>
      <c r="CT72" s="31">
        <v>0.8529603122966819</v>
      </c>
      <c r="CU72" s="31">
        <v>0.8586118251928021</v>
      </c>
      <c r="CV72" s="31">
        <v>0.91764705882352937</v>
      </c>
      <c r="CW72" s="31">
        <v>0.86463730569948183</v>
      </c>
      <c r="CX72" s="31">
        <v>0.87557318949068974</v>
      </c>
      <c r="CY72" s="31">
        <v>0.89230769230769236</v>
      </c>
      <c r="CZ72" s="31">
        <v>0.87557908669755125</v>
      </c>
      <c r="DA72" s="31">
        <v>0.86202450032237266</v>
      </c>
      <c r="DB72" s="31">
        <v>0.84115755627009647</v>
      </c>
      <c r="DC72" s="31">
        <v>0.86119873817034698</v>
      </c>
      <c r="DD72" s="31">
        <v>0.86528497409326421</v>
      </c>
      <c r="DE72" s="31">
        <v>0.89813023855577045</v>
      </c>
      <c r="DF72" s="31">
        <v>0.87081182663101353</v>
      </c>
      <c r="DG72" s="31">
        <v>0.87905405405405401</v>
      </c>
      <c r="DH72" s="31">
        <v>0.91445236552171094</v>
      </c>
      <c r="DI72" s="31">
        <v>0.86222808174027687</v>
      </c>
      <c r="DJ72" s="31">
        <v>0.87970918704560475</v>
      </c>
      <c r="DK72" s="31">
        <v>0.87591240875912413</v>
      </c>
      <c r="DL72" s="31">
        <v>0.92081151832460728</v>
      </c>
      <c r="DM72" s="31">
        <v>0.92240802675585287</v>
      </c>
      <c r="DN72" s="31">
        <v>0.89351080602874722</v>
      </c>
      <c r="DO72" s="31">
        <v>0.87757817697937457</v>
      </c>
      <c r="DP72" s="31">
        <v>0.87882736156351793</v>
      </c>
      <c r="DQ72" s="31">
        <v>0.87341772151898733</v>
      </c>
      <c r="DR72" s="31">
        <v>0.86786188579017265</v>
      </c>
      <c r="DS72" s="31">
        <v>0.87147540983606553</v>
      </c>
      <c r="DT72" s="31">
        <v>0.88154450261780104</v>
      </c>
      <c r="DU72" s="31">
        <v>0.90885245901639344</v>
      </c>
      <c r="DV72" s="31">
        <v>0.87993678818890175</v>
      </c>
      <c r="DW72" s="31">
        <v>0.87524622455679579</v>
      </c>
      <c r="DX72" s="31">
        <v>0.89185580774365825</v>
      </c>
      <c r="DY72" s="31">
        <v>0.84044648719632309</v>
      </c>
      <c r="DZ72" s="31">
        <v>0.83902759526938242</v>
      </c>
      <c r="EA72" s="31">
        <v>0.87343441001977584</v>
      </c>
      <c r="EB72" s="31">
        <v>0.90591397849462363</v>
      </c>
      <c r="EC72" s="31">
        <v>0.94121621621621621</v>
      </c>
      <c r="ED72" s="31">
        <v>0.88102010278525356</v>
      </c>
      <c r="EE72" s="31">
        <v>0.88157894736842102</v>
      </c>
      <c r="EF72" s="31">
        <v>0.86111111111111116</v>
      </c>
      <c r="EG72" s="31">
        <v>0.85305343511450382</v>
      </c>
      <c r="EH72" s="31">
        <v>0.82886334610472545</v>
      </c>
      <c r="EI72" s="31">
        <v>0.87607119314436388</v>
      </c>
      <c r="EJ72" s="31">
        <v>0.86216037110669319</v>
      </c>
      <c r="EK72" s="31">
        <v>0.8687335092348285</v>
      </c>
      <c r="EL72" s="31">
        <v>0.86165313045494951</v>
      </c>
    </row>
    <row r="73" spans="38:142" x14ac:dyDescent="0.35">
      <c r="AL73" s="19" t="s">
        <v>120</v>
      </c>
      <c r="AM73" s="31">
        <v>0.86513157894736847</v>
      </c>
      <c r="AN73" s="31">
        <v>0.8929765886287625</v>
      </c>
      <c r="AO73" s="31">
        <v>0.85855263157894735</v>
      </c>
      <c r="AP73" s="31">
        <v>0.87043189368770768</v>
      </c>
      <c r="AQ73" s="31">
        <v>0.90202702702702697</v>
      </c>
      <c r="AR73" s="31">
        <v>0.9183006535947712</v>
      </c>
      <c r="AS73" s="31">
        <v>0.88157894736842102</v>
      </c>
      <c r="AT73" s="31">
        <v>0.88414276011900073</v>
      </c>
      <c r="AU73" s="31">
        <v>0.89171974522292996</v>
      </c>
      <c r="AV73" s="31">
        <v>0.8856209150326797</v>
      </c>
      <c r="AW73" s="31">
        <v>0.85804416403785488</v>
      </c>
      <c r="AX73" s="31">
        <v>0.83860759493670889</v>
      </c>
      <c r="AY73" s="31">
        <v>0.86046511627906974</v>
      </c>
      <c r="AZ73" s="31">
        <v>0.87254901960784315</v>
      </c>
      <c r="BA73" s="31">
        <v>0.85197368421052633</v>
      </c>
      <c r="BB73" s="31">
        <v>0.86556860561823024</v>
      </c>
      <c r="BC73" s="31">
        <v>0.88291139240506333</v>
      </c>
      <c r="BD73" s="31">
        <v>0.86708860759493667</v>
      </c>
      <c r="BE73" s="31">
        <v>0.83067092651757191</v>
      </c>
      <c r="BF73" s="31">
        <v>0.85256410256410253</v>
      </c>
      <c r="BG73" s="31">
        <v>0.87936507936507935</v>
      </c>
      <c r="BH73" s="31">
        <v>0.870253164556962</v>
      </c>
      <c r="BI73" s="31">
        <v>0.85804416403785488</v>
      </c>
      <c r="BJ73" s="31">
        <v>0.86298534814879591</v>
      </c>
      <c r="BK73" s="31">
        <v>0.83221476510067116</v>
      </c>
      <c r="BL73" s="31">
        <v>0.87213114754098364</v>
      </c>
      <c r="BM73" s="31">
        <v>0.72053872053872059</v>
      </c>
      <c r="BN73" s="31">
        <v>0.75254237288135595</v>
      </c>
      <c r="BO73" s="31">
        <v>0.84899328859060408</v>
      </c>
      <c r="BP73" s="31">
        <v>0.92079207920792083</v>
      </c>
      <c r="BQ73" s="31">
        <v>0.87707641196013286</v>
      </c>
      <c r="BR73" s="31">
        <v>0.8320412551171984</v>
      </c>
      <c r="BS73" s="31">
        <v>0.88590604026845643</v>
      </c>
      <c r="BT73" s="31">
        <v>0.82711864406779656</v>
      </c>
      <c r="BU73" s="31">
        <v>0.85135135135135132</v>
      </c>
      <c r="BV73" s="31">
        <v>0.882943143812709</v>
      </c>
      <c r="BW73" s="31">
        <v>0.88486842105263153</v>
      </c>
      <c r="BX73" s="31">
        <v>0.84511784511784516</v>
      </c>
      <c r="BY73" s="31">
        <v>0.85761589403973515</v>
      </c>
      <c r="BZ73" s="31">
        <v>0.86213161995864651</v>
      </c>
      <c r="CA73" s="31">
        <v>0.88157894736842102</v>
      </c>
      <c r="CB73" s="31">
        <v>0.86885245901639341</v>
      </c>
      <c r="CC73" s="31">
        <v>0.87171052631578949</v>
      </c>
      <c r="CD73" s="31">
        <v>0.91447368421052633</v>
      </c>
      <c r="CE73" s="31">
        <v>0.90522875816993464</v>
      </c>
      <c r="CF73" s="31">
        <v>0.89473684210526316</v>
      </c>
      <c r="CG73" s="31">
        <v>0.89333333333333331</v>
      </c>
      <c r="CH73" s="31">
        <v>0.88998779293138008</v>
      </c>
      <c r="CI73" s="31">
        <v>0.86333333333333329</v>
      </c>
      <c r="CJ73" s="31">
        <v>0.91318327974276525</v>
      </c>
      <c r="CK73" s="31">
        <v>0.83498349834983498</v>
      </c>
      <c r="CL73" s="31">
        <v>0.90508474576271192</v>
      </c>
      <c r="CM73" s="31">
        <v>0.90365448504983392</v>
      </c>
      <c r="CN73" s="31">
        <v>0.91390728476821192</v>
      </c>
      <c r="CO73" s="31">
        <v>0.93355481727574752</v>
      </c>
      <c r="CP73" s="31">
        <v>0.89538592061177702</v>
      </c>
      <c r="CQ73" s="31">
        <v>0.88961038961038963</v>
      </c>
      <c r="CR73" s="31">
        <v>0.93537414965986398</v>
      </c>
      <c r="CS73" s="31">
        <v>0.93485342019543971</v>
      </c>
      <c r="CT73" s="31">
        <v>0.94462540716612375</v>
      </c>
      <c r="CU73" s="31">
        <v>0.92556634304207119</v>
      </c>
      <c r="CV73" s="31">
        <v>0.89508196721311473</v>
      </c>
      <c r="CW73" s="31">
        <v>0.90522875816993464</v>
      </c>
      <c r="CX73" s="31">
        <v>0.91862006215099101</v>
      </c>
      <c r="CY73" s="31">
        <v>0.90099009900990101</v>
      </c>
      <c r="CZ73" s="31">
        <v>0.93670886075949367</v>
      </c>
      <c r="DA73" s="31">
        <v>0.85993485342019549</v>
      </c>
      <c r="DB73" s="31">
        <v>0.88424437299035374</v>
      </c>
      <c r="DC73" s="31">
        <v>0.88599348534201949</v>
      </c>
      <c r="DD73" s="31">
        <v>0.93312101910828027</v>
      </c>
      <c r="DE73" s="31">
        <v>0.909967845659164</v>
      </c>
      <c r="DF73" s="31">
        <v>0.90156579089848676</v>
      </c>
      <c r="DG73" s="31">
        <v>0.91346153846153844</v>
      </c>
      <c r="DH73" s="31">
        <v>0.88461538461538458</v>
      </c>
      <c r="DI73" s="31">
        <v>0.88996763754045305</v>
      </c>
      <c r="DJ73" s="31">
        <v>0.87987012987012991</v>
      </c>
      <c r="DK73" s="31">
        <v>0.9274447949526814</v>
      </c>
      <c r="DL73" s="31">
        <v>0.90322580645161288</v>
      </c>
      <c r="DM73" s="31">
        <v>0.92258064516129035</v>
      </c>
      <c r="DN73" s="31">
        <v>0.90302370529329856</v>
      </c>
      <c r="DO73" s="31">
        <v>0.92233009708737868</v>
      </c>
      <c r="DP73" s="31">
        <v>0.90032154340836013</v>
      </c>
      <c r="DQ73" s="31">
        <v>0.91558441558441561</v>
      </c>
      <c r="DR73" s="31">
        <v>0.88817891373801916</v>
      </c>
      <c r="DS73" s="31">
        <v>0.90322580645161288</v>
      </c>
      <c r="DT73" s="31">
        <v>0.91059602649006621</v>
      </c>
      <c r="DU73" s="31">
        <v>0.91530944625407162</v>
      </c>
      <c r="DV73" s="31">
        <v>0.9079351784305606</v>
      </c>
      <c r="DW73" s="31">
        <v>0.89473684210526316</v>
      </c>
      <c r="DX73" s="31">
        <v>0.90095846645367417</v>
      </c>
      <c r="DY73" s="31">
        <v>0.91147540983606556</v>
      </c>
      <c r="DZ73" s="31">
        <v>0.9058441558441559</v>
      </c>
      <c r="EA73" s="31">
        <v>0.90849673202614378</v>
      </c>
      <c r="EB73" s="31">
        <v>0.91776315789473684</v>
      </c>
      <c r="EC73" s="31">
        <v>0.89473684210526316</v>
      </c>
      <c r="ED73" s="31">
        <v>0.90485880089504334</v>
      </c>
      <c r="EE73" s="31">
        <v>0.90522875816993464</v>
      </c>
      <c r="EF73" s="31">
        <v>0.94498381877022652</v>
      </c>
      <c r="EG73" s="31">
        <v>0.88273615635179148</v>
      </c>
      <c r="EH73" s="31">
        <v>0.90064102564102566</v>
      </c>
      <c r="EI73" s="31">
        <v>0.90228013029315957</v>
      </c>
      <c r="EJ73" s="31">
        <v>0.93979933110367897</v>
      </c>
      <c r="EK73" s="31">
        <v>0.9183006535947712</v>
      </c>
      <c r="EL73" s="31">
        <v>0.91342426770351259</v>
      </c>
    </row>
    <row r="74" spans="38:142" x14ac:dyDescent="0.35">
      <c r="AL74" s="19" t="s">
        <v>121</v>
      </c>
      <c r="AM74" s="31">
        <v>0.93906250000000002</v>
      </c>
      <c r="AN74" s="31">
        <v>0.92698412698412702</v>
      </c>
      <c r="AO74" s="31">
        <v>0.8936507936507937</v>
      </c>
      <c r="AP74" s="31">
        <v>0.92698412698412702</v>
      </c>
      <c r="AQ74" s="31">
        <v>0.93260188087774298</v>
      </c>
      <c r="AR74" s="31">
        <v>0.93858267716535437</v>
      </c>
      <c r="AS74" s="31">
        <v>0.95461658841940533</v>
      </c>
      <c r="AT74" s="31">
        <v>0.93035467058307864</v>
      </c>
      <c r="AU74" s="31">
        <v>0.90649762282091917</v>
      </c>
      <c r="AV74" s="31">
        <v>0.94285714285714284</v>
      </c>
      <c r="AW74" s="31">
        <v>0.91214057507987223</v>
      </c>
      <c r="AX74" s="31">
        <v>0.88694267515923564</v>
      </c>
      <c r="AY74" s="31">
        <v>0.91639871382636651</v>
      </c>
      <c r="AZ74" s="31">
        <v>0.92331768388106417</v>
      </c>
      <c r="BA74" s="31">
        <v>0.9228346456692913</v>
      </c>
      <c r="BB74" s="31">
        <v>0.91585557989912747</v>
      </c>
      <c r="BC74" s="31">
        <v>0.87694704049844241</v>
      </c>
      <c r="BD74" s="31">
        <v>0.90923566878980888</v>
      </c>
      <c r="BE74" s="31">
        <v>0.86075949367088611</v>
      </c>
      <c r="BF74" s="31">
        <v>0.85804416403785488</v>
      </c>
      <c r="BG74" s="31">
        <v>0.89150943396226412</v>
      </c>
      <c r="BH74" s="31">
        <v>0.90297339593114245</v>
      </c>
      <c r="BI74" s="31">
        <v>0.92417061611374407</v>
      </c>
      <c r="BJ74" s="31">
        <v>0.88909140185773461</v>
      </c>
      <c r="BK74" s="31">
        <v>0.85266457680250785</v>
      </c>
      <c r="BL74" s="31">
        <v>0.90031645569620256</v>
      </c>
      <c r="BM74" s="31">
        <v>0.73775671406003163</v>
      </c>
      <c r="BN74" s="31">
        <v>0.72266244057052298</v>
      </c>
      <c r="BO74" s="31">
        <v>0.86858974358974361</v>
      </c>
      <c r="BP74" s="31">
        <v>0.88941548183254349</v>
      </c>
      <c r="BQ74" s="31">
        <v>0.89715189873417722</v>
      </c>
      <c r="BR74" s="31">
        <v>0.83836533018367565</v>
      </c>
      <c r="BS74" s="31">
        <v>0.89739413680781754</v>
      </c>
      <c r="BT74" s="31">
        <v>0.77424483306836245</v>
      </c>
      <c r="BU74" s="31">
        <v>0.86178861788617889</v>
      </c>
      <c r="BV74" s="31">
        <v>0.91353996737357257</v>
      </c>
      <c r="BW74" s="31">
        <v>0.90422077922077926</v>
      </c>
      <c r="BX74" s="31">
        <v>0.84848484848484851</v>
      </c>
      <c r="BY74" s="31">
        <v>0.88253968253968251</v>
      </c>
      <c r="BZ74" s="31">
        <v>0.86888755219732017</v>
      </c>
      <c r="CA74" s="31">
        <v>0.92050874403815586</v>
      </c>
      <c r="CB74" s="31">
        <v>0.89967637540453071</v>
      </c>
      <c r="CC74" s="31">
        <v>0.86042944785276076</v>
      </c>
      <c r="CD74" s="31">
        <v>0.90654205607476634</v>
      </c>
      <c r="CE74" s="31">
        <v>0.9358974358974359</v>
      </c>
      <c r="CF74" s="31">
        <v>0.92483660130718959</v>
      </c>
      <c r="CG74" s="31">
        <v>0.92891760904684972</v>
      </c>
      <c r="CH74" s="31">
        <v>0.91097260994595575</v>
      </c>
      <c r="CI74" s="31">
        <v>0.88461538461538458</v>
      </c>
      <c r="CJ74" s="31">
        <v>0.89628482972136225</v>
      </c>
      <c r="CK74" s="31">
        <v>0.84976525821596249</v>
      </c>
      <c r="CL74" s="31">
        <v>0.86771653543307081</v>
      </c>
      <c r="CM74" s="31">
        <v>0.90015600624024961</v>
      </c>
      <c r="CN74" s="31">
        <v>0.921875</v>
      </c>
      <c r="CO74" s="31">
        <v>0.91653786707882534</v>
      </c>
      <c r="CP74" s="31">
        <v>0.89099298304355068</v>
      </c>
      <c r="CQ74" s="31">
        <v>0.86923076923076925</v>
      </c>
      <c r="CR74" s="31">
        <v>0.87617554858934166</v>
      </c>
      <c r="CS74" s="31">
        <v>0.86307692307692307</v>
      </c>
      <c r="CT74" s="31">
        <v>0.87071651090342683</v>
      </c>
      <c r="CU74" s="31">
        <v>0.89250814332247552</v>
      </c>
      <c r="CV74" s="31">
        <v>0.88291139240506333</v>
      </c>
      <c r="CW74" s="31">
        <v>0.88817891373801916</v>
      </c>
      <c r="CX74" s="31">
        <v>0.87754260018085983</v>
      </c>
      <c r="CY74" s="31">
        <v>0.90296052631578949</v>
      </c>
      <c r="CZ74" s="31">
        <v>0.91679999999999995</v>
      </c>
      <c r="DA74" s="31">
        <v>0.88590604026845643</v>
      </c>
      <c r="DB74" s="31">
        <v>0.90939597315436238</v>
      </c>
      <c r="DC74" s="31">
        <v>0.93719008264462811</v>
      </c>
      <c r="DD74" s="31">
        <v>0.94174757281553401</v>
      </c>
      <c r="DE74" s="31">
        <v>0.9197431781701445</v>
      </c>
      <c r="DF74" s="31">
        <v>0.91624905333841633</v>
      </c>
      <c r="DG74" s="31">
        <v>0.94117647058823528</v>
      </c>
      <c r="DH74" s="31">
        <v>0.93634840871021774</v>
      </c>
      <c r="DI74" s="31">
        <v>0.91625615763546797</v>
      </c>
      <c r="DJ74" s="31">
        <v>0.90097402597402598</v>
      </c>
      <c r="DK74" s="31">
        <v>0.92269736842105265</v>
      </c>
      <c r="DL74" s="31">
        <v>0.89852700490998361</v>
      </c>
      <c r="DM74" s="31">
        <v>0.91059602649006621</v>
      </c>
      <c r="DN74" s="31">
        <v>0.91808220896129278</v>
      </c>
      <c r="DO74" s="31">
        <v>0.95016077170418012</v>
      </c>
      <c r="DP74" s="31">
        <v>0.9149277688603531</v>
      </c>
      <c r="DQ74" s="31">
        <v>0.90192926045016075</v>
      </c>
      <c r="DR74" s="31">
        <v>0.91774193548387095</v>
      </c>
      <c r="DS74" s="31">
        <v>0.93838862559241709</v>
      </c>
      <c r="DT74" s="31">
        <v>0.9258064516129032</v>
      </c>
      <c r="DU74" s="31">
        <v>0.93522906793048977</v>
      </c>
      <c r="DV74" s="31">
        <v>0.9263119830906249</v>
      </c>
      <c r="DW74" s="31">
        <v>0.92765273311897101</v>
      </c>
      <c r="DX74" s="31">
        <v>0.93397745571658619</v>
      </c>
      <c r="DY74" s="31">
        <v>0.87459283387622155</v>
      </c>
      <c r="DZ74" s="31">
        <v>0.89951377633711505</v>
      </c>
      <c r="EA74" s="31">
        <v>0.9197431781701445</v>
      </c>
      <c r="EB74" s="31">
        <v>0.92185007974481659</v>
      </c>
      <c r="EC74" s="31">
        <v>0.92185007974481659</v>
      </c>
      <c r="ED74" s="31">
        <v>0.91416859095838165</v>
      </c>
      <c r="EE74" s="31">
        <v>0.91823899371069184</v>
      </c>
      <c r="EF74" s="31">
        <v>0.91479099678456588</v>
      </c>
      <c r="EG74" s="31">
        <v>0.91613924050632911</v>
      </c>
      <c r="EH74" s="31">
        <v>0.91719745222929938</v>
      </c>
      <c r="EI74" s="31">
        <v>0.92393026941362921</v>
      </c>
      <c r="EJ74" s="31">
        <v>0.9467741935483871</v>
      </c>
      <c r="EK74" s="31">
        <v>0.93600000000000005</v>
      </c>
      <c r="EL74" s="31">
        <v>0.92472444945612886</v>
      </c>
    </row>
    <row r="75" spans="38:142" x14ac:dyDescent="0.35">
      <c r="AL75" s="19" t="s">
        <v>122</v>
      </c>
      <c r="AM75" s="31">
        <v>0.87614678899082565</v>
      </c>
      <c r="AN75" s="31">
        <v>0.84454756380510443</v>
      </c>
      <c r="AO75" s="31">
        <v>0.89390243902439026</v>
      </c>
      <c r="AP75" s="31">
        <v>0.89544895448954487</v>
      </c>
      <c r="AQ75" s="31">
        <v>0.90289017341040467</v>
      </c>
      <c r="AR75" s="31">
        <v>0.87584650112866813</v>
      </c>
      <c r="AS75" s="31">
        <v>0.91981672394043523</v>
      </c>
      <c r="AT75" s="31">
        <v>0.88694273496991038</v>
      </c>
      <c r="AU75" s="31">
        <v>0.91289198606271782</v>
      </c>
      <c r="AV75" s="31">
        <v>0.89007092198581561</v>
      </c>
      <c r="AW75" s="31">
        <v>0.88622754491017963</v>
      </c>
      <c r="AX75" s="31">
        <v>0.86642599277978338</v>
      </c>
      <c r="AY75" s="31">
        <v>0.92147806004618937</v>
      </c>
      <c r="AZ75" s="31">
        <v>0.92087155963302747</v>
      </c>
      <c r="BA75" s="31">
        <v>0.92441860465116277</v>
      </c>
      <c r="BB75" s="31">
        <v>0.90319781000983934</v>
      </c>
      <c r="BC75" s="31">
        <v>0.86309523809523814</v>
      </c>
      <c r="BD75" s="31">
        <v>0.89848308051341885</v>
      </c>
      <c r="BE75" s="31">
        <v>0.82699386503067485</v>
      </c>
      <c r="BF75" s="31">
        <v>0.82316313823163134</v>
      </c>
      <c r="BG75" s="31">
        <v>0.89598108747044913</v>
      </c>
      <c r="BH75" s="31">
        <v>0.89702517162471396</v>
      </c>
      <c r="BI75" s="31">
        <v>0.90091116173120733</v>
      </c>
      <c r="BJ75" s="31">
        <v>0.8722361060996191</v>
      </c>
      <c r="BK75" s="31">
        <v>0.79231692677070831</v>
      </c>
      <c r="BL75" s="31">
        <v>0.86738351254480284</v>
      </c>
      <c r="BM75" s="31">
        <v>0.72949816401468792</v>
      </c>
      <c r="BN75" s="31">
        <v>0.74754901960784315</v>
      </c>
      <c r="BO75" s="31">
        <v>0.83687943262411346</v>
      </c>
      <c r="BP75" s="31">
        <v>0.88256227758007122</v>
      </c>
      <c r="BQ75" s="31">
        <v>0.86776859504132231</v>
      </c>
      <c r="BR75" s="31">
        <v>0.81770827545479274</v>
      </c>
      <c r="BS75" s="31">
        <v>0.89691943127962082</v>
      </c>
      <c r="BT75" s="31">
        <v>0.77439024390243905</v>
      </c>
      <c r="BU75" s="31">
        <v>0.84337349397590367</v>
      </c>
      <c r="BV75" s="31">
        <v>0.86842105263157898</v>
      </c>
      <c r="BW75" s="31">
        <v>0.88850174216027877</v>
      </c>
      <c r="BX75" s="31">
        <v>0.80810488676996428</v>
      </c>
      <c r="BY75" s="31">
        <v>0.86046511627906974</v>
      </c>
      <c r="BZ75" s="31">
        <v>0.8485965667141222</v>
      </c>
      <c r="CA75" s="31">
        <v>0.9171332586786114</v>
      </c>
      <c r="CB75" s="31">
        <v>0.87605294825511437</v>
      </c>
      <c r="CC75" s="31">
        <v>0.90729295426452405</v>
      </c>
      <c r="CD75" s="31">
        <v>0.90303030303030307</v>
      </c>
      <c r="CE75" s="31">
        <v>0.93155452436194897</v>
      </c>
      <c r="CF75" s="31">
        <v>0.91818181818181821</v>
      </c>
      <c r="CG75" s="31">
        <v>0.93012600229095077</v>
      </c>
      <c r="CH75" s="31">
        <v>0.91191025843761009</v>
      </c>
      <c r="CI75" s="31">
        <v>0.90223792697290928</v>
      </c>
      <c r="CJ75" s="31">
        <v>0.91734575087310821</v>
      </c>
      <c r="CK75" s="31">
        <v>0.9125151883353585</v>
      </c>
      <c r="CL75" s="31">
        <v>0.90310559006211177</v>
      </c>
      <c r="CM75" s="31">
        <v>0.89281507656065962</v>
      </c>
      <c r="CN75" s="31">
        <v>0.90919540229885054</v>
      </c>
      <c r="CO75" s="31">
        <v>0.92009400705052879</v>
      </c>
      <c r="CP75" s="31">
        <v>0.9081869917362182</v>
      </c>
      <c r="CQ75" s="31">
        <v>0.88715486194477788</v>
      </c>
      <c r="CR75" s="31">
        <v>0.90722891566265063</v>
      </c>
      <c r="CS75" s="31">
        <v>0.88734177215189869</v>
      </c>
      <c r="CT75" s="31">
        <v>0.89</v>
      </c>
      <c r="CU75" s="31">
        <v>0.8995157384987893</v>
      </c>
      <c r="CV75" s="31">
        <v>0.90791027154663517</v>
      </c>
      <c r="CW75" s="31">
        <v>0.92899408284023666</v>
      </c>
      <c r="CX75" s="31">
        <v>0.9011636632349983</v>
      </c>
      <c r="CY75" s="31">
        <v>0.9158536585365854</v>
      </c>
      <c r="CZ75" s="31">
        <v>0.88157894736842102</v>
      </c>
      <c r="DA75" s="31">
        <v>0.89353612167300378</v>
      </c>
      <c r="DB75" s="31">
        <v>0.91035353535353536</v>
      </c>
      <c r="DC75" s="31">
        <v>0.91799265605875158</v>
      </c>
      <c r="DD75" s="31">
        <v>0.92344497607655507</v>
      </c>
      <c r="DE75" s="31">
        <v>0.90533980582524276</v>
      </c>
      <c r="DF75" s="31">
        <v>0.90687138584172788</v>
      </c>
      <c r="DG75" s="31">
        <v>0.88610763454317898</v>
      </c>
      <c r="DH75" s="31">
        <v>0.89486552567237165</v>
      </c>
      <c r="DI75" s="31">
        <v>0.87295597484276732</v>
      </c>
      <c r="DJ75" s="31">
        <v>0.87703889585947303</v>
      </c>
      <c r="DK75" s="31">
        <v>0.89506172839506171</v>
      </c>
      <c r="DL75" s="31">
        <v>0.93132530120481927</v>
      </c>
      <c r="DM75" s="31">
        <v>0.90338164251207731</v>
      </c>
      <c r="DN75" s="31">
        <v>0.89439095757567844</v>
      </c>
      <c r="DO75" s="31">
        <v>0.8941605839416058</v>
      </c>
      <c r="DP75" s="31">
        <v>0.87148102815177475</v>
      </c>
      <c r="DQ75" s="31">
        <v>0.88366336633663367</v>
      </c>
      <c r="DR75" s="31">
        <v>0.87277353689567427</v>
      </c>
      <c r="DS75" s="31">
        <v>0.91479289940828401</v>
      </c>
      <c r="DT75" s="31">
        <v>0.90821256038647347</v>
      </c>
      <c r="DU75" s="31">
        <v>0.91127098321342925</v>
      </c>
      <c r="DV75" s="31">
        <v>0.89376499404769649</v>
      </c>
      <c r="DW75" s="31">
        <v>0.88470873786407767</v>
      </c>
      <c r="DX75" s="31">
        <v>0.8704600484261501</v>
      </c>
      <c r="DY75" s="31">
        <v>0.89762796504369535</v>
      </c>
      <c r="DZ75" s="31">
        <v>0.89526184538653364</v>
      </c>
      <c r="EA75" s="31">
        <v>0.90864799025578558</v>
      </c>
      <c r="EB75" s="31">
        <v>0.88742514970059883</v>
      </c>
      <c r="EC75" s="31">
        <v>0.88461538461538458</v>
      </c>
      <c r="ED75" s="31">
        <v>0.88982101732746077</v>
      </c>
      <c r="EE75" s="31">
        <v>0.86778846153846156</v>
      </c>
      <c r="EF75" s="31">
        <v>0.89518072289156625</v>
      </c>
      <c r="EG75" s="31">
        <v>0.86172839506172838</v>
      </c>
      <c r="EH75" s="31">
        <v>0.86172839506172838</v>
      </c>
      <c r="EI75" s="31">
        <v>0.89234449760765555</v>
      </c>
      <c r="EJ75" s="31">
        <v>0.88402366863905324</v>
      </c>
      <c r="EK75" s="31">
        <v>0.89163722025912839</v>
      </c>
      <c r="EL75" s="31">
        <v>0.87920448015133168</v>
      </c>
    </row>
    <row r="76" spans="38:142" x14ac:dyDescent="0.35">
      <c r="AL76" s="19" t="s">
        <v>123</v>
      </c>
      <c r="AM76" s="31">
        <v>0.89987714987714984</v>
      </c>
      <c r="AN76" s="31">
        <v>0.90482154038822793</v>
      </c>
      <c r="AO76" s="31">
        <v>0.88314883148831491</v>
      </c>
      <c r="AP76" s="31">
        <v>0.88478396994364439</v>
      </c>
      <c r="AQ76" s="31">
        <v>0.92473781616286244</v>
      </c>
      <c r="AR76" s="31">
        <v>0.92647975077881617</v>
      </c>
      <c r="AS76" s="31">
        <v>0.92615384615384611</v>
      </c>
      <c r="AT76" s="31">
        <v>0.90714327211326595</v>
      </c>
      <c r="AU76" s="31">
        <v>0.90683229813664601</v>
      </c>
      <c r="AV76" s="31">
        <v>0.89635678391959794</v>
      </c>
      <c r="AW76" s="31">
        <v>0.89987562189054726</v>
      </c>
      <c r="AX76" s="31">
        <v>0.85980148883374685</v>
      </c>
      <c r="AY76" s="31">
        <v>0.91279799247176918</v>
      </c>
      <c r="AZ76" s="31">
        <v>0.89863184079601988</v>
      </c>
      <c r="BA76" s="31">
        <v>0.91</v>
      </c>
      <c r="BB76" s="31">
        <v>0.89775657514976093</v>
      </c>
      <c r="BC76" s="31">
        <v>0.90404984423676016</v>
      </c>
      <c r="BD76" s="31">
        <v>0.88490566037735852</v>
      </c>
      <c r="BE76" s="31">
        <v>0.87515683814303635</v>
      </c>
      <c r="BF76" s="31">
        <v>0.85126582278481011</v>
      </c>
      <c r="BG76" s="31">
        <v>0.90835913312693495</v>
      </c>
      <c r="BH76" s="31">
        <v>0.91692498450092996</v>
      </c>
      <c r="BI76" s="31">
        <v>0.91651090342679131</v>
      </c>
      <c r="BJ76" s="31">
        <v>0.89388188379951738</v>
      </c>
      <c r="BK76" s="31">
        <v>0.81146496815286628</v>
      </c>
      <c r="BL76" s="31">
        <v>0.8545454545454545</v>
      </c>
      <c r="BM76" s="31">
        <v>0.72427184466019412</v>
      </c>
      <c r="BN76" s="31">
        <v>0.74256144890038811</v>
      </c>
      <c r="BO76" s="31">
        <v>0.8345911949685535</v>
      </c>
      <c r="BP76" s="31">
        <v>0.87836990595611286</v>
      </c>
      <c r="BQ76" s="31">
        <v>0.85312500000000002</v>
      </c>
      <c r="BR76" s="31">
        <v>0.81413283102622425</v>
      </c>
      <c r="BS76" s="31">
        <v>0.86392405063291144</v>
      </c>
      <c r="BT76" s="31">
        <v>0.77637690776376911</v>
      </c>
      <c r="BU76" s="31">
        <v>0.83141025641025645</v>
      </c>
      <c r="BV76" s="31">
        <v>0.8319488817891374</v>
      </c>
      <c r="BW76" s="31">
        <v>0.86696371737746658</v>
      </c>
      <c r="BX76" s="31">
        <v>0.82017252820172526</v>
      </c>
      <c r="BY76" s="31">
        <v>0.82917214191852828</v>
      </c>
      <c r="BZ76" s="31">
        <v>0.83142406915625633</v>
      </c>
      <c r="CA76" s="31">
        <v>0.87835308796007483</v>
      </c>
      <c r="CB76" s="31">
        <v>0.86501901140684412</v>
      </c>
      <c r="CC76" s="31">
        <v>0.84944237918215615</v>
      </c>
      <c r="CD76" s="31">
        <v>0.86104218362282881</v>
      </c>
      <c r="CE76" s="31">
        <v>0.89756402248594624</v>
      </c>
      <c r="CF76" s="31">
        <v>0.87941919191919193</v>
      </c>
      <c r="CG76" s="31">
        <v>0.90043832185347528</v>
      </c>
      <c r="CH76" s="31">
        <v>0.87589688549007383</v>
      </c>
      <c r="CI76" s="31">
        <v>0.87992610837438423</v>
      </c>
      <c r="CJ76" s="31">
        <v>0.87468982630272951</v>
      </c>
      <c r="CK76" s="31">
        <v>0.86991368680641179</v>
      </c>
      <c r="CL76" s="31">
        <v>0.8524283935242839</v>
      </c>
      <c r="CM76" s="31">
        <v>0.88463911165946951</v>
      </c>
      <c r="CN76" s="31">
        <v>0.88779284833538841</v>
      </c>
      <c r="CO76" s="31">
        <v>0.87553648068669532</v>
      </c>
      <c r="CP76" s="31">
        <v>0.87498949366990897</v>
      </c>
      <c r="CQ76" s="31">
        <v>0.87774294670846398</v>
      </c>
      <c r="CR76" s="31">
        <v>0.8489296636085627</v>
      </c>
      <c r="CS76" s="31">
        <v>0.86733416770963701</v>
      </c>
      <c r="CT76" s="31">
        <v>0.87104930467762332</v>
      </c>
      <c r="CU76" s="31">
        <v>0.86450030656039245</v>
      </c>
      <c r="CV76" s="31">
        <v>0.87086903304773566</v>
      </c>
      <c r="CW76" s="31">
        <v>0.87684729064039413</v>
      </c>
      <c r="CX76" s="31">
        <v>0.86818181613611567</v>
      </c>
      <c r="CY76" s="31">
        <v>0.92138364779874216</v>
      </c>
      <c r="CZ76" s="31">
        <v>0.88216761184625081</v>
      </c>
      <c r="DA76" s="31">
        <v>0.89766266582438403</v>
      </c>
      <c r="DB76" s="31">
        <v>0.87666034155597727</v>
      </c>
      <c r="DC76" s="31">
        <v>0.89378881987577641</v>
      </c>
      <c r="DD76" s="31">
        <v>0.89912826899128273</v>
      </c>
      <c r="DE76" s="31">
        <v>0.91511771995043367</v>
      </c>
      <c r="DF76" s="31">
        <v>0.89798701083469246</v>
      </c>
      <c r="DG76" s="31">
        <v>0.88454376163873372</v>
      </c>
      <c r="DH76" s="31">
        <v>0.88589341692789969</v>
      </c>
      <c r="DI76" s="31">
        <v>0.87070580886945659</v>
      </c>
      <c r="DJ76" s="31">
        <v>0.85660613650594863</v>
      </c>
      <c r="DK76" s="31">
        <v>0.90744215134459039</v>
      </c>
      <c r="DL76" s="31">
        <v>0.90263819095477382</v>
      </c>
      <c r="DM76" s="31">
        <v>0.89576753000631715</v>
      </c>
      <c r="DN76" s="31">
        <v>0.88622814232110303</v>
      </c>
      <c r="DO76" s="31">
        <v>0.8984326018808777</v>
      </c>
      <c r="DP76" s="31">
        <v>0.85312500000000002</v>
      </c>
      <c r="DQ76" s="31">
        <v>0.8707865168539326</v>
      </c>
      <c r="DR76" s="31">
        <v>0.84230287859824782</v>
      </c>
      <c r="DS76" s="31">
        <v>0.90031347962382446</v>
      </c>
      <c r="DT76" s="31">
        <v>0.87562189054726369</v>
      </c>
      <c r="DU76" s="31">
        <v>0.8889582033686837</v>
      </c>
      <c r="DV76" s="31">
        <v>0.87564865298183292</v>
      </c>
      <c r="DW76" s="31">
        <v>0.89589905362776023</v>
      </c>
      <c r="DX76" s="31">
        <v>0.85136815920398012</v>
      </c>
      <c r="DY76" s="31">
        <v>0.86910006293266207</v>
      </c>
      <c r="DZ76" s="31">
        <v>0.8652526512788522</v>
      </c>
      <c r="EA76" s="31">
        <v>0.8932584269662921</v>
      </c>
      <c r="EB76" s="31">
        <v>0.87948084054388131</v>
      </c>
      <c r="EC76" s="31">
        <v>0.87453183520599254</v>
      </c>
      <c r="ED76" s="31">
        <v>0.87555586139420283</v>
      </c>
      <c r="EE76" s="31">
        <v>0.90671641791044777</v>
      </c>
      <c r="EF76" s="31">
        <v>0.88478396994364439</v>
      </c>
      <c r="EG76" s="31">
        <v>0.89278996865203764</v>
      </c>
      <c r="EH76" s="31">
        <v>0.88401253918495293</v>
      </c>
      <c r="EI76" s="31">
        <v>0.90292470441817052</v>
      </c>
      <c r="EJ76" s="31">
        <v>0.92158092848180673</v>
      </c>
      <c r="EK76" s="31">
        <v>0.90396530359355642</v>
      </c>
      <c r="EL76" s="31">
        <v>0.89953911888351656</v>
      </c>
    </row>
    <row r="77" spans="38:142" x14ac:dyDescent="0.35">
      <c r="AL77" s="19" t="s">
        <v>124</v>
      </c>
      <c r="AM77" s="31">
        <v>0.96376811594202894</v>
      </c>
      <c r="AN77" s="31">
        <v>0.95238095238095233</v>
      </c>
      <c r="AO77" s="31">
        <v>0.9616977225672878</v>
      </c>
      <c r="AP77" s="31">
        <v>0.96376811594202894</v>
      </c>
      <c r="AQ77" s="31">
        <v>0.96894409937888204</v>
      </c>
      <c r="AR77" s="31">
        <v>0.95238095238095233</v>
      </c>
      <c r="AS77" s="31">
        <v>0.95652173913043481</v>
      </c>
      <c r="AT77" s="31">
        <v>0.95992309967465261</v>
      </c>
      <c r="AU77" s="31">
        <v>0.97515527950310554</v>
      </c>
      <c r="AV77" s="31">
        <v>0.94202898550724634</v>
      </c>
      <c r="AW77" s="31">
        <v>0.9668737060041408</v>
      </c>
      <c r="AX77" s="31">
        <v>0.97826086956521741</v>
      </c>
      <c r="AY77" s="31">
        <v>0.97308488612836441</v>
      </c>
      <c r="AZ77" s="31">
        <v>0.95238095238095233</v>
      </c>
      <c r="BA77" s="31">
        <v>0.97204968944099379</v>
      </c>
      <c r="BB77" s="31">
        <v>0.96569062407571715</v>
      </c>
      <c r="BC77" s="31">
        <v>0.95134575569358182</v>
      </c>
      <c r="BD77" s="31">
        <v>0.96066252587991718</v>
      </c>
      <c r="BE77" s="31">
        <v>0.96273291925465843</v>
      </c>
      <c r="BF77" s="31">
        <v>0.93478260869565222</v>
      </c>
      <c r="BG77" s="31">
        <v>0.94824016563146996</v>
      </c>
      <c r="BH77" s="31">
        <v>0.95859213250517594</v>
      </c>
      <c r="BI77" s="31">
        <v>0.95859213250517594</v>
      </c>
      <c r="BJ77" s="31">
        <v>0.95356403430937586</v>
      </c>
      <c r="BK77" s="31">
        <v>0.92546583850931674</v>
      </c>
      <c r="BL77" s="31">
        <v>0.92028985507246375</v>
      </c>
      <c r="BM77" s="31">
        <v>0.83229813664596275</v>
      </c>
      <c r="BN77" s="31">
        <v>0.83126293995859213</v>
      </c>
      <c r="BO77" s="31">
        <v>0.9285714285714286</v>
      </c>
      <c r="BP77" s="31">
        <v>0.92443064182194612</v>
      </c>
      <c r="BQ77" s="31">
        <v>0.9503105590062112</v>
      </c>
      <c r="BR77" s="31">
        <v>0.90180419994084604</v>
      </c>
      <c r="BS77" s="31">
        <v>0.94306418219461696</v>
      </c>
      <c r="BT77" s="31">
        <v>0.86024844720496896</v>
      </c>
      <c r="BU77" s="31">
        <v>0.91511387163561075</v>
      </c>
      <c r="BV77" s="31">
        <v>0.89130434782608692</v>
      </c>
      <c r="BW77" s="31">
        <v>0.95755693581780543</v>
      </c>
      <c r="BX77" s="31">
        <v>0.88819875776397517</v>
      </c>
      <c r="BY77" s="31">
        <v>0.90476190476190477</v>
      </c>
      <c r="BZ77" s="31">
        <v>0.9086069210292812</v>
      </c>
      <c r="CA77" s="31">
        <v>0.96480331262939956</v>
      </c>
      <c r="CB77" s="31">
        <v>0.91925465838509313</v>
      </c>
      <c r="CC77" s="31">
        <v>0.95341614906832295</v>
      </c>
      <c r="CD77" s="31">
        <v>0.90890269151138714</v>
      </c>
      <c r="CE77" s="31">
        <v>0.9451345755693582</v>
      </c>
      <c r="CF77" s="31">
        <v>0.92236024844720499</v>
      </c>
      <c r="CG77" s="31">
        <v>0.95238095238095233</v>
      </c>
      <c r="CH77" s="31">
        <v>0.93803608399881699</v>
      </c>
      <c r="CI77" s="31">
        <v>0.94927536231884058</v>
      </c>
      <c r="CJ77" s="31">
        <v>0.93685300207039335</v>
      </c>
      <c r="CK77" s="31">
        <v>0.93685300207039335</v>
      </c>
      <c r="CL77" s="31">
        <v>0.95962732919254656</v>
      </c>
      <c r="CM77" s="31">
        <v>0.93271221532091098</v>
      </c>
      <c r="CN77" s="31">
        <v>0.95859213250517594</v>
      </c>
      <c r="CO77" s="31">
        <v>0.94616977225672882</v>
      </c>
      <c r="CP77" s="31">
        <v>0.94572611653356986</v>
      </c>
      <c r="CQ77" s="31">
        <v>0.96997929606625255</v>
      </c>
      <c r="CR77" s="31">
        <v>0.96066252587991718</v>
      </c>
      <c r="CS77" s="31">
        <v>0.94099378881987583</v>
      </c>
      <c r="CT77" s="31">
        <v>0.93995859213250521</v>
      </c>
      <c r="CU77" s="31">
        <v>0.94720496894409933</v>
      </c>
      <c r="CV77" s="31">
        <v>0.95652173913043481</v>
      </c>
      <c r="CW77" s="31">
        <v>0.94824016563146996</v>
      </c>
      <c r="CX77" s="31">
        <v>0.95193729665779359</v>
      </c>
      <c r="CY77" s="31">
        <v>0.96273291925465843</v>
      </c>
      <c r="CZ77" s="31">
        <v>0.92960662525879922</v>
      </c>
      <c r="DA77" s="31">
        <v>0.96894409937888204</v>
      </c>
      <c r="DB77" s="31">
        <v>0.95962732919254656</v>
      </c>
      <c r="DC77" s="31">
        <v>0.96894409937888204</v>
      </c>
      <c r="DD77" s="31">
        <v>0.9451345755693582</v>
      </c>
      <c r="DE77" s="31">
        <v>0.96376811594202894</v>
      </c>
      <c r="DF77" s="31">
        <v>0.95696539485359366</v>
      </c>
      <c r="DG77" s="31">
        <v>0.97204968944099379</v>
      </c>
      <c r="DH77" s="31">
        <v>0.95445134575569357</v>
      </c>
      <c r="DI77" s="31">
        <v>0.95652173913043481</v>
      </c>
      <c r="DJ77" s="31">
        <v>0.97412008281573503</v>
      </c>
      <c r="DK77" s="31">
        <v>0.97515527950310554</v>
      </c>
      <c r="DL77" s="31">
        <v>0.96480331262939956</v>
      </c>
      <c r="DM77" s="31">
        <v>0.95652173913043481</v>
      </c>
      <c r="DN77" s="31">
        <v>0.96480331262939945</v>
      </c>
      <c r="DO77" s="31">
        <v>0.97929606625258803</v>
      </c>
      <c r="DP77" s="31">
        <v>0.96480331262939956</v>
      </c>
      <c r="DQ77" s="31">
        <v>0.96376811594202894</v>
      </c>
      <c r="DR77" s="31">
        <v>0.95445134575569357</v>
      </c>
      <c r="DS77" s="31">
        <v>0.96790890269151142</v>
      </c>
      <c r="DT77" s="31">
        <v>0.97722567287784678</v>
      </c>
      <c r="DU77" s="31">
        <v>0.97308488612836441</v>
      </c>
      <c r="DV77" s="31">
        <v>0.96864832889677621</v>
      </c>
      <c r="DW77" s="31">
        <v>0.95859213250517594</v>
      </c>
      <c r="DX77" s="31">
        <v>0.94202898550724634</v>
      </c>
      <c r="DY77" s="31">
        <v>0.96480331262939956</v>
      </c>
      <c r="DZ77" s="31">
        <v>0.92650103519668736</v>
      </c>
      <c r="EA77" s="31">
        <v>0.9451345755693582</v>
      </c>
      <c r="EB77" s="31">
        <v>0.97515527950310554</v>
      </c>
      <c r="EC77" s="31">
        <v>0.95548654244306419</v>
      </c>
      <c r="ED77" s="31">
        <v>0.95252883762200535</v>
      </c>
      <c r="EE77" s="31">
        <v>0.97619047619047616</v>
      </c>
      <c r="EF77" s="31">
        <v>0.94720496894409933</v>
      </c>
      <c r="EG77" s="31">
        <v>0.92132505175983437</v>
      </c>
      <c r="EH77" s="31">
        <v>0.92132505175983437</v>
      </c>
      <c r="EI77" s="31">
        <v>0.9503105590062112</v>
      </c>
      <c r="EJ77" s="31">
        <v>0.96066252587991718</v>
      </c>
      <c r="EK77" s="31">
        <v>0.94824016563146996</v>
      </c>
      <c r="EL77" s="31">
        <v>0.94646554273883454</v>
      </c>
    </row>
    <row r="78" spans="38:142" x14ac:dyDescent="0.35">
      <c r="AL78" s="19" t="s">
        <v>289</v>
      </c>
      <c r="AM78" s="31">
        <v>0.98275862068965514</v>
      </c>
      <c r="AN78" s="31">
        <v>0.96673387096774188</v>
      </c>
      <c r="AO78" s="31">
        <v>0.9775967413441955</v>
      </c>
      <c r="AP78" s="31">
        <v>0.98880976602238047</v>
      </c>
      <c r="AQ78" s="31">
        <v>0.9917948717948718</v>
      </c>
      <c r="AR78" s="31">
        <v>0.97893681043129388</v>
      </c>
      <c r="AS78" s="31">
        <v>0.97975708502024295</v>
      </c>
      <c r="AT78" s="31">
        <v>0.98091253803862588</v>
      </c>
      <c r="AU78" s="31">
        <v>0.98817733990147782</v>
      </c>
      <c r="AV78" s="31">
        <v>0.98274111675126907</v>
      </c>
      <c r="AW78" s="31">
        <v>0.96084337349397586</v>
      </c>
      <c r="AX78" s="31">
        <v>0.9649298597194389</v>
      </c>
      <c r="AY78" s="31">
        <v>0.9743336623889437</v>
      </c>
      <c r="AZ78" s="31">
        <v>1</v>
      </c>
      <c r="BA78" s="31">
        <v>0.98334965719882472</v>
      </c>
      <c r="BB78" s="31">
        <v>0.97919642992199007</v>
      </c>
      <c r="BC78" s="31">
        <v>0.98984771573604058</v>
      </c>
      <c r="BD78" s="31">
        <v>0.96288866599799394</v>
      </c>
      <c r="BE78" s="31">
        <v>0.9529529529529529</v>
      </c>
      <c r="BF78" s="31">
        <v>0.94360523665659612</v>
      </c>
      <c r="BG78" s="31">
        <v>0.9848790322580645</v>
      </c>
      <c r="BH78" s="31">
        <v>0.97194388777555107</v>
      </c>
      <c r="BI78" s="31">
        <v>0.98588709677419351</v>
      </c>
      <c r="BJ78" s="31">
        <v>0.97028636973591342</v>
      </c>
      <c r="BK78" s="31">
        <v>0.88656716417910453</v>
      </c>
      <c r="BL78" s="31">
        <v>0.98574338085539714</v>
      </c>
      <c r="BM78" s="31">
        <v>0.78921078921078924</v>
      </c>
      <c r="BN78" s="31">
        <v>0.82595573440643866</v>
      </c>
      <c r="BO78" s="31">
        <v>0.91584158415841588</v>
      </c>
      <c r="BP78" s="31">
        <v>0.9785932721712538</v>
      </c>
      <c r="BQ78" s="31">
        <v>0.97123015873015872</v>
      </c>
      <c r="BR78" s="31">
        <v>0.90759172624450823</v>
      </c>
      <c r="BS78" s="31">
        <v>0.97959183673469385</v>
      </c>
      <c r="BT78" s="31">
        <v>0.8652694610778443</v>
      </c>
      <c r="BU78" s="31">
        <v>0.96195121951219509</v>
      </c>
      <c r="BV78" s="31">
        <v>0.95703125</v>
      </c>
      <c r="BW78" s="31">
        <v>0.9625719769673704</v>
      </c>
      <c r="BX78" s="31">
        <v>0.95114656031904288</v>
      </c>
      <c r="BY78" s="31">
        <v>0.96414728682170547</v>
      </c>
      <c r="BZ78" s="31">
        <v>0.94881565591897898</v>
      </c>
      <c r="CA78" s="31">
        <v>0.92741935483870963</v>
      </c>
      <c r="CB78" s="31">
        <v>0.95945945945945943</v>
      </c>
      <c r="CC78" s="31">
        <v>0.86116700201207241</v>
      </c>
      <c r="CD78" s="31">
        <v>0.9</v>
      </c>
      <c r="CE78" s="31">
        <v>0.98094282848545633</v>
      </c>
      <c r="CF78" s="31">
        <v>0.9468599033816425</v>
      </c>
      <c r="CG78" s="31">
        <v>0.96558505408062933</v>
      </c>
      <c r="CH78" s="31">
        <v>0.93449051460828148</v>
      </c>
      <c r="CI78" s="31">
        <v>0.98502994011976053</v>
      </c>
      <c r="CJ78" s="31">
        <v>0.95092024539877296</v>
      </c>
      <c r="CK78" s="31">
        <v>0.94105894105894106</v>
      </c>
      <c r="CL78" s="31">
        <v>0.92714570858283429</v>
      </c>
      <c r="CM78" s="31">
        <v>0.96096096096096095</v>
      </c>
      <c r="CN78" s="31">
        <v>0.94499017681728881</v>
      </c>
      <c r="CO78" s="31">
        <v>0.97028688524590168</v>
      </c>
      <c r="CP78" s="31">
        <v>0.95434183688349428</v>
      </c>
      <c r="CQ78" s="31">
        <v>0.96435845213849292</v>
      </c>
      <c r="CR78" s="31">
        <v>0.9641791044776119</v>
      </c>
      <c r="CS78" s="31">
        <v>0.96862348178137647</v>
      </c>
      <c r="CT78" s="31">
        <v>0.95727365208545268</v>
      </c>
      <c r="CU78" s="31">
        <v>0.96693386773547096</v>
      </c>
      <c r="CV78" s="31">
        <v>0.98203592814371254</v>
      </c>
      <c r="CW78" s="31">
        <v>0.98705179282868527</v>
      </c>
      <c r="CX78" s="31">
        <v>0.9700651827415433</v>
      </c>
      <c r="CY78" s="31">
        <v>0.94169096209912539</v>
      </c>
      <c r="CZ78" s="31">
        <v>0.96799999999999997</v>
      </c>
      <c r="DA78" s="31">
        <v>0.96828543111992071</v>
      </c>
      <c r="DB78" s="31">
        <v>0.96410767696909272</v>
      </c>
      <c r="DC78" s="31">
        <v>0.95883534136546189</v>
      </c>
      <c r="DD78" s="31">
        <v>0.95513459621136587</v>
      </c>
      <c r="DE78" s="31">
        <v>0.9607250755287009</v>
      </c>
      <c r="DF78" s="31">
        <v>0.95953986904195243</v>
      </c>
      <c r="DG78" s="31">
        <v>0.95390781563126248</v>
      </c>
      <c r="DH78" s="31">
        <v>0.9726027397260274</v>
      </c>
      <c r="DI78" s="31">
        <v>0.92900000000000005</v>
      </c>
      <c r="DJ78" s="31">
        <v>0.94053518334985131</v>
      </c>
      <c r="DK78" s="31">
        <v>0.95841584158415838</v>
      </c>
      <c r="DL78" s="31">
        <v>0.95261121856866537</v>
      </c>
      <c r="DM78" s="31">
        <v>0.97140039447731752</v>
      </c>
      <c r="DN78" s="31">
        <v>0.95406759904818317</v>
      </c>
      <c r="DO78" s="31">
        <v>0.93208661417322836</v>
      </c>
      <c r="DP78" s="31">
        <v>0.93391642371234207</v>
      </c>
      <c r="DQ78" s="31">
        <v>0.91400000000000003</v>
      </c>
      <c r="DR78" s="31">
        <v>0.91725529767911196</v>
      </c>
      <c r="DS78" s="31">
        <v>0.9482421875</v>
      </c>
      <c r="DT78" s="31">
        <v>0.95053346265761396</v>
      </c>
      <c r="DU78" s="31">
        <v>0.93811394891944988</v>
      </c>
      <c r="DV78" s="31">
        <v>0.93344970494882096</v>
      </c>
      <c r="DW78" s="31">
        <v>0.97326732673267324</v>
      </c>
      <c r="DX78" s="31">
        <v>0.94040404040404035</v>
      </c>
      <c r="DY78" s="31">
        <v>0.952191235059761</v>
      </c>
      <c r="DZ78" s="31">
        <v>0.94726368159203977</v>
      </c>
      <c r="EA78" s="31">
        <v>0.96981499513145086</v>
      </c>
      <c r="EB78" s="31">
        <v>0.95944609297725025</v>
      </c>
      <c r="EC78" s="31">
        <v>0.97583081570996977</v>
      </c>
      <c r="ED78" s="31">
        <v>0.95974545537245504</v>
      </c>
      <c r="EE78" s="31">
        <v>0.94139886578449905</v>
      </c>
      <c r="EF78" s="31">
        <v>0.94623655913978499</v>
      </c>
      <c r="EG78" s="31">
        <v>0.95499021526418781</v>
      </c>
      <c r="EH78" s="31">
        <v>0.96561886051080548</v>
      </c>
      <c r="EI78" s="31">
        <v>0.9464285714285714</v>
      </c>
      <c r="EJ78" s="31">
        <v>0.94428434197886646</v>
      </c>
      <c r="EK78" s="31">
        <v>0.97187196896217265</v>
      </c>
      <c r="EL78" s="31">
        <v>0.95297562615269837</v>
      </c>
    </row>
    <row r="79" spans="38:142" x14ac:dyDescent="0.35">
      <c r="AL79" s="19" t="s">
        <v>125</v>
      </c>
      <c r="AM79" s="31">
        <v>0.94159292035398234</v>
      </c>
      <c r="AN79" s="31">
        <v>0.94045534150612964</v>
      </c>
      <c r="AO79" s="31">
        <v>0.895017793594306</v>
      </c>
      <c r="AP79" s="31">
        <v>0.87712665406427226</v>
      </c>
      <c r="AQ79" s="31">
        <v>0.9197860962566845</v>
      </c>
      <c r="AR79" s="31">
        <v>0.93594306049822062</v>
      </c>
      <c r="AS79" s="31">
        <v>0.9086115992970123</v>
      </c>
      <c r="AT79" s="31">
        <v>0.91693335222437256</v>
      </c>
      <c r="AU79" s="31">
        <v>0.93772241992882566</v>
      </c>
      <c r="AV79" s="31">
        <v>0.93559928443649376</v>
      </c>
      <c r="AW79" s="31">
        <v>0.90652557319223981</v>
      </c>
      <c r="AX79" s="31">
        <v>0.925589836660617</v>
      </c>
      <c r="AY79" s="31">
        <v>0.95652173913043481</v>
      </c>
      <c r="AZ79" s="31">
        <v>0.97340425531914898</v>
      </c>
      <c r="BA79" s="31">
        <v>0.96057347670250892</v>
      </c>
      <c r="BB79" s="31">
        <v>0.94227665505289548</v>
      </c>
      <c r="BC79" s="31">
        <v>0.88556338028169013</v>
      </c>
      <c r="BD79" s="31">
        <v>0.95660036166365281</v>
      </c>
      <c r="BE79" s="31">
        <v>0.84375</v>
      </c>
      <c r="BF79" s="31">
        <v>0.84859813084112146</v>
      </c>
      <c r="BG79" s="31">
        <v>0.89860139860139865</v>
      </c>
      <c r="BH79" s="31">
        <v>0.96875</v>
      </c>
      <c r="BI79" s="31">
        <v>0.93628318584070791</v>
      </c>
      <c r="BJ79" s="31">
        <v>0.90544949388979579</v>
      </c>
      <c r="BK79" s="31">
        <v>0.80290456431535273</v>
      </c>
      <c r="BL79" s="31">
        <v>0.87732342007434949</v>
      </c>
      <c r="BM79" s="31">
        <v>0.73412698412698407</v>
      </c>
      <c r="BN79" s="31">
        <v>0.78068410462776661</v>
      </c>
      <c r="BO79" s="31">
        <v>0.82803738317757014</v>
      </c>
      <c r="BP79" s="31">
        <v>0.90925925925925921</v>
      </c>
      <c r="BQ79" s="31">
        <v>0.86704119850187267</v>
      </c>
      <c r="BR79" s="31">
        <v>0.82848241629759356</v>
      </c>
      <c r="BS79" s="31">
        <v>0.93103448275862066</v>
      </c>
      <c r="BT79" s="31">
        <v>0.83536585365853655</v>
      </c>
      <c r="BU79" s="31">
        <v>0.86825053995680346</v>
      </c>
      <c r="BV79" s="31">
        <v>0.875</v>
      </c>
      <c r="BW79" s="31">
        <v>0.93459915611814348</v>
      </c>
      <c r="BX79" s="31">
        <v>0.86419753086419748</v>
      </c>
      <c r="BY79" s="31">
        <v>0.90578158458244107</v>
      </c>
      <c r="BZ79" s="31">
        <v>0.8877470211341062</v>
      </c>
      <c r="CA79" s="31">
        <v>0.88020833333333337</v>
      </c>
      <c r="CB79" s="31">
        <v>0.89834515366430256</v>
      </c>
      <c r="CC79" s="31">
        <v>0.8716216216216216</v>
      </c>
      <c r="CD79" s="31">
        <v>0.88115449915110355</v>
      </c>
      <c r="CE79" s="31">
        <v>0.92954545454545456</v>
      </c>
      <c r="CF79" s="31">
        <v>0.88260869565217392</v>
      </c>
      <c r="CG79" s="31">
        <v>0.9242424242424242</v>
      </c>
      <c r="CH79" s="31">
        <v>0.89538945460148767</v>
      </c>
      <c r="CI79" s="31">
        <v>0.87413793103448278</v>
      </c>
      <c r="CJ79" s="31">
        <v>0.92047377326565138</v>
      </c>
      <c r="CK79" s="31">
        <v>0.85593220338983056</v>
      </c>
      <c r="CL79" s="31">
        <v>0.83418803418803422</v>
      </c>
      <c r="CM79" s="31">
        <v>0.88737201365187712</v>
      </c>
      <c r="CN79" s="31">
        <v>0.92674616695059631</v>
      </c>
      <c r="CO79" s="31">
        <v>0.89799331103678925</v>
      </c>
      <c r="CP79" s="31">
        <v>0.88526334764532311</v>
      </c>
      <c r="CQ79" s="31">
        <v>0.92904290429042902</v>
      </c>
      <c r="CR79" s="31">
        <v>0.87478559176672388</v>
      </c>
      <c r="CS79" s="31">
        <v>0.87644151565074135</v>
      </c>
      <c r="CT79" s="31">
        <v>0.86417657045840413</v>
      </c>
      <c r="CU79" s="31">
        <v>0.91611842105263153</v>
      </c>
      <c r="CV79" s="31">
        <v>0.92179700499168049</v>
      </c>
      <c r="CW79" s="31">
        <v>0.86904761904761907</v>
      </c>
      <c r="CX79" s="31">
        <v>0.89305851817974713</v>
      </c>
      <c r="CY79" s="31">
        <v>0.92439862542955331</v>
      </c>
      <c r="CZ79" s="31">
        <v>0.91822827938671214</v>
      </c>
      <c r="DA79" s="31">
        <v>0.90189328743545616</v>
      </c>
      <c r="DB79" s="31">
        <v>0.91850594227504245</v>
      </c>
      <c r="DC79" s="31">
        <v>0.9343696027633851</v>
      </c>
      <c r="DD79" s="31">
        <v>0.94256756756756754</v>
      </c>
      <c r="DE79" s="31">
        <v>0.9112627986348123</v>
      </c>
      <c r="DF79" s="31">
        <v>0.92160372907036137</v>
      </c>
      <c r="DG79" s="31">
        <v>0.91979522184300344</v>
      </c>
      <c r="DH79" s="31">
        <v>0.91438356164383561</v>
      </c>
      <c r="DI79" s="31">
        <v>0.92201039861351819</v>
      </c>
      <c r="DJ79" s="31">
        <v>0.88811188811188813</v>
      </c>
      <c r="DK79" s="31">
        <v>0.89119170984455953</v>
      </c>
      <c r="DL79" s="31">
        <v>0.9255499153976311</v>
      </c>
      <c r="DM79" s="31">
        <v>0.90508474576271192</v>
      </c>
      <c r="DN79" s="31">
        <v>0.9094467773167354</v>
      </c>
      <c r="DO79" s="31">
        <v>0.902229845626072</v>
      </c>
      <c r="DP79" s="31">
        <v>0.9069373942470389</v>
      </c>
      <c r="DQ79" s="31">
        <v>0.90034364261168387</v>
      </c>
      <c r="DR79" s="31">
        <v>0.90361445783132532</v>
      </c>
      <c r="DS79" s="31">
        <v>0.89708404802744424</v>
      </c>
      <c r="DT79" s="31">
        <v>0.88605442176870752</v>
      </c>
      <c r="DU79" s="31">
        <v>0.87889273356401387</v>
      </c>
      <c r="DV79" s="31">
        <v>0.8964509348108981</v>
      </c>
      <c r="DW79" s="31">
        <v>0.93423271500843175</v>
      </c>
      <c r="DX79" s="31">
        <v>0.87775891341256362</v>
      </c>
      <c r="DY79" s="31">
        <v>0.90206185567010311</v>
      </c>
      <c r="DZ79" s="31">
        <v>0.90816326530612246</v>
      </c>
      <c r="EA79" s="31">
        <v>0.91694915254237286</v>
      </c>
      <c r="EB79" s="31">
        <v>0.88869863013698636</v>
      </c>
      <c r="EC79" s="31">
        <v>0.90614334470989766</v>
      </c>
      <c r="ED79" s="31">
        <v>0.90485826811235381</v>
      </c>
      <c r="EE79" s="31">
        <v>0.90206185567010311</v>
      </c>
      <c r="EF79" s="31">
        <v>0.91311754684838164</v>
      </c>
      <c r="EG79" s="31">
        <v>0.89778534923339015</v>
      </c>
      <c r="EH79" s="31">
        <v>0.89078498293515362</v>
      </c>
      <c r="EI79" s="31">
        <v>0.9242424242424242</v>
      </c>
      <c r="EJ79" s="31">
        <v>0.88794567062818341</v>
      </c>
      <c r="EK79" s="31">
        <v>0.92964824120603018</v>
      </c>
      <c r="EL79" s="31">
        <v>0.90651229582338089</v>
      </c>
    </row>
    <row r="80" spans="38:142" x14ac:dyDescent="0.35">
      <c r="AL80" s="19" t="s">
        <v>126</v>
      </c>
      <c r="AM80" s="31">
        <v>0.91096979332273453</v>
      </c>
      <c r="AN80" s="31">
        <v>0.9734660033167496</v>
      </c>
      <c r="AO80" s="31">
        <v>0.92409240924092406</v>
      </c>
      <c r="AP80" s="31">
        <v>0.92691029900332222</v>
      </c>
      <c r="AQ80" s="31">
        <v>0.91948470209339772</v>
      </c>
      <c r="AR80" s="31">
        <v>0.97226753670473087</v>
      </c>
      <c r="AS80" s="31">
        <v>0.95276872964169379</v>
      </c>
      <c r="AT80" s="31">
        <v>0.93999421047479326</v>
      </c>
      <c r="AU80" s="31">
        <v>0.94165316045380876</v>
      </c>
      <c r="AV80" s="31">
        <v>0.93606557377049182</v>
      </c>
      <c r="AW80" s="31">
        <v>0.91873963515754564</v>
      </c>
      <c r="AX80" s="31">
        <v>0.91946308724832215</v>
      </c>
      <c r="AY80" s="31">
        <v>0.92765273311897101</v>
      </c>
      <c r="AZ80" s="31">
        <v>0.94524959742351045</v>
      </c>
      <c r="BA80" s="31">
        <v>0.94202898550724634</v>
      </c>
      <c r="BB80" s="31">
        <v>0.93297896752569953</v>
      </c>
      <c r="BC80" s="31">
        <v>0.92039800995024879</v>
      </c>
      <c r="BD80" s="31">
        <v>0.92561983471074383</v>
      </c>
      <c r="BE80" s="31">
        <v>0.90381426202321724</v>
      </c>
      <c r="BF80" s="31">
        <v>0.90893760539629009</v>
      </c>
      <c r="BG80" s="31">
        <v>0.94527363184079605</v>
      </c>
      <c r="BH80" s="31">
        <v>0.94299674267100975</v>
      </c>
      <c r="BI80" s="31">
        <v>0.94719471947194722</v>
      </c>
      <c r="BJ80" s="31">
        <v>0.92774782943775047</v>
      </c>
      <c r="BK80" s="31">
        <v>0.87828947368421051</v>
      </c>
      <c r="BL80" s="31">
        <v>0.92320534223706174</v>
      </c>
      <c r="BM80" s="31">
        <v>0.81771720613287902</v>
      </c>
      <c r="BN80" s="31">
        <v>0.86301369863013699</v>
      </c>
      <c r="BO80" s="31">
        <v>0.89822294022617122</v>
      </c>
      <c r="BP80" s="31">
        <v>0.92775041050903118</v>
      </c>
      <c r="BQ80" s="31">
        <v>0.9104234527687296</v>
      </c>
      <c r="BR80" s="31">
        <v>0.88837464631260299</v>
      </c>
      <c r="BS80" s="31">
        <v>0.96160267111853093</v>
      </c>
      <c r="BT80" s="31">
        <v>0.92176870748299322</v>
      </c>
      <c r="BU80" s="31">
        <v>0.95205479452054798</v>
      </c>
      <c r="BV80" s="31">
        <v>0.9370860927152318</v>
      </c>
      <c r="BW80" s="31">
        <v>0.95833333333333337</v>
      </c>
      <c r="BX80" s="31">
        <v>0.95221843003412965</v>
      </c>
      <c r="BY80" s="31">
        <v>0.95812395309882747</v>
      </c>
      <c r="BZ80" s="31">
        <v>0.94874114032908508</v>
      </c>
      <c r="CA80" s="31">
        <v>0.91866028708133973</v>
      </c>
      <c r="CB80" s="31">
        <v>0.94563426688632624</v>
      </c>
      <c r="CC80" s="31">
        <v>0.9152276295133438</v>
      </c>
      <c r="CD80" s="31">
        <v>0.91599353796445881</v>
      </c>
      <c r="CE80" s="31">
        <v>0.91346153846153844</v>
      </c>
      <c r="CF80" s="31">
        <v>0.93709677419354842</v>
      </c>
      <c r="CG80" s="31">
        <v>0.93729903536977488</v>
      </c>
      <c r="CH80" s="31">
        <v>0.92619615278147571</v>
      </c>
      <c r="CI80" s="31">
        <v>0.92452830188679247</v>
      </c>
      <c r="CJ80" s="31">
        <v>0.94599018003273327</v>
      </c>
      <c r="CK80" s="31">
        <v>0.93658536585365859</v>
      </c>
      <c r="CL80" s="31">
        <v>0.92500000000000004</v>
      </c>
      <c r="CM80" s="31">
        <v>0.9507154213036566</v>
      </c>
      <c r="CN80" s="31">
        <v>0.91811023622047239</v>
      </c>
      <c r="CO80" s="31">
        <v>0.91785150078988942</v>
      </c>
      <c r="CP80" s="31">
        <v>0.9312544294410291</v>
      </c>
      <c r="CQ80" s="31">
        <v>0.92031249999999998</v>
      </c>
      <c r="CR80" s="31">
        <v>0.93880837359098224</v>
      </c>
      <c r="CS80" s="31">
        <v>0.89808917197452232</v>
      </c>
      <c r="CT80" s="31">
        <v>0.898876404494382</v>
      </c>
      <c r="CU80" s="31">
        <v>0.90595611285266453</v>
      </c>
      <c r="CV80" s="31">
        <v>0.9507154213036566</v>
      </c>
      <c r="CW80" s="31">
        <v>0.94770206022187009</v>
      </c>
      <c r="CX80" s="31">
        <v>0.92292286349115393</v>
      </c>
      <c r="CY80" s="31">
        <v>0.92903225806451617</v>
      </c>
      <c r="CZ80" s="31">
        <v>0.93086816720257237</v>
      </c>
      <c r="DA80" s="31">
        <v>0.93053311793214866</v>
      </c>
      <c r="DB80" s="31">
        <v>0.92985318107667214</v>
      </c>
      <c r="DC80" s="31">
        <v>0.93450479233226835</v>
      </c>
      <c r="DD80" s="31">
        <v>0.91587301587301584</v>
      </c>
      <c r="DE80" s="31">
        <v>0.93108974358974361</v>
      </c>
      <c r="DF80" s="31">
        <v>0.92882203943870534</v>
      </c>
      <c r="DG80" s="31">
        <v>0.92271293375394325</v>
      </c>
      <c r="DH80" s="31">
        <v>0.93408360128617363</v>
      </c>
      <c r="DI80" s="31">
        <v>0.90851735015772872</v>
      </c>
      <c r="DJ80" s="31">
        <v>0.93075684380032209</v>
      </c>
      <c r="DK80" s="31">
        <v>0.94577352472089316</v>
      </c>
      <c r="DL80" s="31">
        <v>0.94348508634222916</v>
      </c>
      <c r="DM80" s="31">
        <v>0.96634615384615385</v>
      </c>
      <c r="DN80" s="31">
        <v>0.93595364198677766</v>
      </c>
      <c r="DO80" s="31">
        <v>0.9251170046801872</v>
      </c>
      <c r="DP80" s="31">
        <v>0.95604395604395609</v>
      </c>
      <c r="DQ80" s="31">
        <v>0.93312101910828027</v>
      </c>
      <c r="DR80" s="31">
        <v>0.92982456140350878</v>
      </c>
      <c r="DS80" s="31">
        <v>0.9281345565749235</v>
      </c>
      <c r="DT80" s="31">
        <v>0.9429012345679012</v>
      </c>
      <c r="DU80" s="31">
        <v>0.92966360856269115</v>
      </c>
      <c r="DV80" s="31">
        <v>0.93497227727734966</v>
      </c>
      <c r="DW80" s="31">
        <v>0.95700636942675155</v>
      </c>
      <c r="DX80" s="31">
        <v>0.95734597156398105</v>
      </c>
      <c r="DY80" s="31">
        <v>0.95032051282051277</v>
      </c>
      <c r="DZ80" s="31">
        <v>0.9138755980861244</v>
      </c>
      <c r="EA80" s="31">
        <v>0.95981452859350846</v>
      </c>
      <c r="EB80" s="31">
        <v>0.96279069767441861</v>
      </c>
      <c r="EC80" s="31">
        <v>0.963020030816641</v>
      </c>
      <c r="ED80" s="31">
        <v>0.9520248155688481</v>
      </c>
      <c r="EE80" s="31">
        <v>0.95658914728682165</v>
      </c>
      <c r="EF80" s="31">
        <v>0.94182389937106914</v>
      </c>
      <c r="EG80" s="31">
        <v>0.94303797468354433</v>
      </c>
      <c r="EH80" s="31">
        <v>0.94896331738437001</v>
      </c>
      <c r="EI80" s="31">
        <v>0.95585996955859964</v>
      </c>
      <c r="EJ80" s="31">
        <v>0.963020030816641</v>
      </c>
      <c r="EK80" s="31">
        <v>0.94631901840490795</v>
      </c>
      <c r="EL80" s="31">
        <v>0.95080190821513633</v>
      </c>
    </row>
    <row r="81" spans="38:142" x14ac:dyDescent="0.35">
      <c r="AL81" s="19" t="s">
        <v>127</v>
      </c>
      <c r="AM81" s="31">
        <v>0.91859052247873629</v>
      </c>
      <c r="AN81" s="31">
        <v>0.9134146341463415</v>
      </c>
      <c r="AO81" s="31">
        <v>0.89646772228989036</v>
      </c>
      <c r="AP81" s="31">
        <v>0.90145985401459849</v>
      </c>
      <c r="AQ81" s="31">
        <v>0.92606060606060603</v>
      </c>
      <c r="AR81" s="31">
        <v>0.92214111922141118</v>
      </c>
      <c r="AS81" s="31">
        <v>0.93057247259439713</v>
      </c>
      <c r="AT81" s="31">
        <v>0.91552956154371157</v>
      </c>
      <c r="AU81" s="31">
        <v>0.95151515151515154</v>
      </c>
      <c r="AV81" s="31">
        <v>0.91787439613526567</v>
      </c>
      <c r="AW81" s="31">
        <v>0.91130012150668283</v>
      </c>
      <c r="AX81" s="31">
        <v>0.91484184914841848</v>
      </c>
      <c r="AY81" s="31">
        <v>0.97215496368038745</v>
      </c>
      <c r="AZ81" s="31">
        <v>0.95289855072463769</v>
      </c>
      <c r="BA81" s="31">
        <v>0.94806763285024154</v>
      </c>
      <c r="BB81" s="31">
        <v>0.9383789522229693</v>
      </c>
      <c r="BC81" s="31">
        <v>0.96305418719211822</v>
      </c>
      <c r="BD81" s="31">
        <v>0.92822384428223847</v>
      </c>
      <c r="BE81" s="31">
        <v>0.93424317617866004</v>
      </c>
      <c r="BF81" s="31">
        <v>0.9294554455445545</v>
      </c>
      <c r="BG81" s="31">
        <v>0.95726495726495731</v>
      </c>
      <c r="BH81" s="31">
        <v>0.94451145958986726</v>
      </c>
      <c r="BI81" s="31">
        <v>0.96149217809867626</v>
      </c>
      <c r="BJ81" s="31">
        <v>0.94546360687872466</v>
      </c>
      <c r="BK81" s="31">
        <v>0.84099378881987574</v>
      </c>
      <c r="BL81" s="31">
        <v>0.90964590964590963</v>
      </c>
      <c r="BM81" s="31">
        <v>0.74217772215269084</v>
      </c>
      <c r="BN81" s="31">
        <v>0.74843554443053817</v>
      </c>
      <c r="BO81" s="31">
        <v>0.87265917602996257</v>
      </c>
      <c r="BP81" s="31">
        <v>0.88942891859052253</v>
      </c>
      <c r="BQ81" s="31">
        <v>0.90752157829839708</v>
      </c>
      <c r="BR81" s="31">
        <v>0.84440894828112811</v>
      </c>
      <c r="BS81" s="31">
        <v>0.8834355828220859</v>
      </c>
      <c r="BT81" s="31">
        <v>0.78848560700876091</v>
      </c>
      <c r="BU81" s="31">
        <v>0.8685503685503686</v>
      </c>
      <c r="BV81" s="31">
        <v>0.90234857849196537</v>
      </c>
      <c r="BW81" s="31">
        <v>0.88697788697788693</v>
      </c>
      <c r="BX81" s="31">
        <v>0.82196969696969702</v>
      </c>
      <c r="BY81" s="31">
        <v>0.86086956521739133</v>
      </c>
      <c r="BZ81" s="31">
        <v>0.85894818371973669</v>
      </c>
      <c r="CA81" s="31">
        <v>0.93341404358353508</v>
      </c>
      <c r="CB81" s="31">
        <v>0.91223733003708285</v>
      </c>
      <c r="CC81" s="31">
        <v>0.92326431181485991</v>
      </c>
      <c r="CD81" s="31">
        <v>0.92260442260442266</v>
      </c>
      <c r="CE81" s="31">
        <v>0.95652173913043481</v>
      </c>
      <c r="CF81" s="31">
        <v>0.94532199270959905</v>
      </c>
      <c r="CG81" s="31">
        <v>0.95772946859903385</v>
      </c>
      <c r="CH81" s="31">
        <v>0.93587047263985246</v>
      </c>
      <c r="CI81" s="31">
        <v>0.95903614457831321</v>
      </c>
      <c r="CJ81" s="31">
        <v>0.91165644171779137</v>
      </c>
      <c r="CK81" s="31">
        <v>0.94244604316546765</v>
      </c>
      <c r="CL81" s="31">
        <v>0.94724220623501199</v>
      </c>
      <c r="CM81" s="31">
        <v>0.95289855072463769</v>
      </c>
      <c r="CN81" s="31">
        <v>0.94390243902439019</v>
      </c>
      <c r="CO81" s="31">
        <v>0.95438175270108039</v>
      </c>
      <c r="CP81" s="31">
        <v>0.94450908259238453</v>
      </c>
      <c r="CQ81" s="31">
        <v>0.92307692307692313</v>
      </c>
      <c r="CR81" s="31">
        <v>0.96274038461538458</v>
      </c>
      <c r="CS81" s="31">
        <v>0.91747572815533984</v>
      </c>
      <c r="CT81" s="31">
        <v>0.91097560975609759</v>
      </c>
      <c r="CU81" s="31">
        <v>0.94410692588092349</v>
      </c>
      <c r="CV81" s="31">
        <v>0.97176470588235297</v>
      </c>
      <c r="CW81" s="31">
        <v>0.95531400966183577</v>
      </c>
      <c r="CX81" s="31">
        <v>0.94077918386126547</v>
      </c>
      <c r="CY81" s="31">
        <v>0.92822384428223847</v>
      </c>
      <c r="CZ81" s="31">
        <v>0.91980558930741185</v>
      </c>
      <c r="DA81" s="31">
        <v>0.93470374848851268</v>
      </c>
      <c r="DB81" s="31">
        <v>0.93006134969325149</v>
      </c>
      <c r="DC81" s="31">
        <v>0.95377128953771284</v>
      </c>
      <c r="DD81" s="31">
        <v>0.94424242424242422</v>
      </c>
      <c r="DE81" s="31">
        <v>0.94660194174757284</v>
      </c>
      <c r="DF81" s="31">
        <v>0.9367728838998749</v>
      </c>
      <c r="DG81" s="31">
        <v>0.97076735688185145</v>
      </c>
      <c r="DH81" s="31">
        <v>0.94424242424242422</v>
      </c>
      <c r="DI81" s="31">
        <v>0.97429620563035491</v>
      </c>
      <c r="DJ81" s="31">
        <v>0.95620437956204385</v>
      </c>
      <c r="DK81" s="31">
        <v>0.96125907990314774</v>
      </c>
      <c r="DL81" s="31">
        <v>0.95772946859903385</v>
      </c>
      <c r="DM81" s="31">
        <v>0.96368038740920092</v>
      </c>
      <c r="DN81" s="31">
        <v>0.96116847174686537</v>
      </c>
      <c r="DO81" s="31">
        <v>0.94168734491315131</v>
      </c>
      <c r="DP81" s="31">
        <v>0.95302843016069216</v>
      </c>
      <c r="DQ81" s="31">
        <v>0.90671641791044777</v>
      </c>
      <c r="DR81" s="31">
        <v>0.92412935323383083</v>
      </c>
      <c r="DS81" s="31">
        <v>0.9466501240694789</v>
      </c>
      <c r="DT81" s="31">
        <v>0.94154228855721389</v>
      </c>
      <c r="DU81" s="31">
        <v>0.93266832917705733</v>
      </c>
      <c r="DV81" s="31">
        <v>0.93520318400312452</v>
      </c>
      <c r="DW81" s="31">
        <v>0.96809815950920242</v>
      </c>
      <c r="DX81" s="31">
        <v>0.94235588972431072</v>
      </c>
      <c r="DY81" s="31">
        <v>0.95925925925925926</v>
      </c>
      <c r="DZ81" s="31">
        <v>0.94103194103194099</v>
      </c>
      <c r="EA81" s="31">
        <v>0.96913580246913578</v>
      </c>
      <c r="EB81" s="31">
        <v>0.97560975609756095</v>
      </c>
      <c r="EC81" s="31">
        <v>0.96940024479804165</v>
      </c>
      <c r="ED81" s="31">
        <v>0.9606987218413503</v>
      </c>
      <c r="EE81" s="31">
        <v>0.93120393120393119</v>
      </c>
      <c r="EF81" s="31">
        <v>0.95772946859903385</v>
      </c>
      <c r="EG81" s="31">
        <v>0.86296296296296293</v>
      </c>
      <c r="EH81" s="31">
        <v>0.90829145728643212</v>
      </c>
      <c r="EI81" s="31">
        <v>0.94871794871794868</v>
      </c>
      <c r="EJ81" s="31">
        <v>0.95157384987893467</v>
      </c>
      <c r="EK81" s="31">
        <v>0.93704600484261502</v>
      </c>
      <c r="EL81" s="31">
        <v>0.9282179462131227</v>
      </c>
    </row>
    <row r="82" spans="38:142" x14ac:dyDescent="0.35">
      <c r="AL82" s="19" t="s">
        <v>128</v>
      </c>
      <c r="AM82" s="31">
        <v>0.96996662958843161</v>
      </c>
      <c r="AN82" s="31">
        <v>0.97225305216426194</v>
      </c>
      <c r="AO82" s="31">
        <v>0.96979865771812079</v>
      </c>
      <c r="AP82" s="31">
        <v>0.98657718120805371</v>
      </c>
      <c r="AQ82" s="31">
        <v>0.98329621380846322</v>
      </c>
      <c r="AR82" s="31">
        <v>0.9877232142857143</v>
      </c>
      <c r="AS82" s="31">
        <v>0.98558758314855877</v>
      </c>
      <c r="AT82" s="31">
        <v>0.97931464741737195</v>
      </c>
      <c r="AU82" s="31">
        <v>0.98172043010752685</v>
      </c>
      <c r="AV82" s="31">
        <v>0.9798882681564246</v>
      </c>
      <c r="AW82" s="31">
        <v>0.98064516129032253</v>
      </c>
      <c r="AX82" s="31">
        <v>0.9604700854700855</v>
      </c>
      <c r="AY82" s="31">
        <v>0.9691489361702128</v>
      </c>
      <c r="AZ82" s="31">
        <v>0.9838709677419355</v>
      </c>
      <c r="BA82" s="31">
        <v>0.96595744680851059</v>
      </c>
      <c r="BB82" s="31">
        <v>0.97452875653500259</v>
      </c>
      <c r="BC82" s="31">
        <v>0.96871628910463858</v>
      </c>
      <c r="BD82" s="31">
        <v>0.96798292422625398</v>
      </c>
      <c r="BE82" s="31">
        <v>0.96623093681917216</v>
      </c>
      <c r="BF82" s="31">
        <v>0.96212121212121215</v>
      </c>
      <c r="BG82" s="31">
        <v>0.97847147470398277</v>
      </c>
      <c r="BH82" s="31">
        <v>0.99136069114470837</v>
      </c>
      <c r="BI82" s="31">
        <v>0.96228448275862066</v>
      </c>
      <c r="BJ82" s="31">
        <v>0.97102400155408408</v>
      </c>
      <c r="BK82" s="31">
        <v>0.97167755991285398</v>
      </c>
      <c r="BL82" s="31">
        <v>0.95284030010718113</v>
      </c>
      <c r="BM82" s="31">
        <v>0.95610278372591007</v>
      </c>
      <c r="BN82" s="31">
        <v>0.95614973262032088</v>
      </c>
      <c r="BO82" s="31">
        <v>0.91703056768558955</v>
      </c>
      <c r="BP82" s="31">
        <v>0.95810955961331901</v>
      </c>
      <c r="BQ82" s="31">
        <v>0.92150537634408602</v>
      </c>
      <c r="BR82" s="31">
        <v>0.94763084000132303</v>
      </c>
      <c r="BS82" s="31">
        <v>0.98799126637554591</v>
      </c>
      <c r="BT82" s="31">
        <v>0.94220283533260629</v>
      </c>
      <c r="BU82" s="31">
        <v>0.98701298701298701</v>
      </c>
      <c r="BV82" s="31">
        <v>0.9881465517241379</v>
      </c>
      <c r="BW82" s="31">
        <v>0.97603485838779958</v>
      </c>
      <c r="BX82" s="31">
        <v>0.95300546448087431</v>
      </c>
      <c r="BY82" s="31">
        <v>0.94863387978142077</v>
      </c>
      <c r="BZ82" s="31">
        <v>0.96900397758505297</v>
      </c>
      <c r="CA82" s="31">
        <v>0.98296059637912669</v>
      </c>
      <c r="CB82" s="31">
        <v>0.97413793103448276</v>
      </c>
      <c r="CC82" s="31">
        <v>0.97002141327623126</v>
      </c>
      <c r="CD82" s="31">
        <v>0.97099892588614389</v>
      </c>
      <c r="CE82" s="31">
        <v>0.97591623036649211</v>
      </c>
      <c r="CF82" s="31">
        <v>0.98839662447257381</v>
      </c>
      <c r="CG82" s="31">
        <v>0.96848739495798319</v>
      </c>
      <c r="CH82" s="31">
        <v>0.97584558805329047</v>
      </c>
      <c r="CI82" s="31">
        <v>0.98</v>
      </c>
      <c r="CJ82" s="31">
        <v>0.97348886532343581</v>
      </c>
      <c r="CK82" s="31">
        <v>0.99044585987261147</v>
      </c>
      <c r="CL82" s="31">
        <v>0.97991543340380549</v>
      </c>
      <c r="CM82" s="31">
        <v>0.9850267379679144</v>
      </c>
      <c r="CN82" s="31">
        <v>0.99153439153439149</v>
      </c>
      <c r="CO82" s="31">
        <v>0.95508021390374331</v>
      </c>
      <c r="CP82" s="31">
        <v>0.97935592885798606</v>
      </c>
      <c r="CQ82" s="31">
        <v>0.97693920335429774</v>
      </c>
      <c r="CR82" s="31">
        <v>0.97789473684210526</v>
      </c>
      <c r="CS82" s="31">
        <v>0.96908315565031988</v>
      </c>
      <c r="CT82" s="31">
        <v>0.95095948827292109</v>
      </c>
      <c r="CU82" s="31">
        <v>0.97591623036649211</v>
      </c>
      <c r="CV82" s="31">
        <v>0.97049525816649107</v>
      </c>
      <c r="CW82" s="31">
        <v>0.97151898734177211</v>
      </c>
      <c r="CX82" s="31">
        <v>0.97040100857062839</v>
      </c>
      <c r="CY82" s="31">
        <v>0.97303370786516852</v>
      </c>
      <c r="CZ82" s="31">
        <v>0.95415778251599148</v>
      </c>
      <c r="DA82" s="31">
        <v>0.98054054054054052</v>
      </c>
      <c r="DB82" s="31">
        <v>0.98054054054054052</v>
      </c>
      <c r="DC82" s="31">
        <v>0.98484848484848486</v>
      </c>
      <c r="DD82" s="31">
        <v>0.96194503171247359</v>
      </c>
      <c r="DE82" s="31">
        <v>0.98095238095238091</v>
      </c>
      <c r="DF82" s="31">
        <v>0.97371692413936872</v>
      </c>
      <c r="DG82" s="31">
        <v>0.96570203644158625</v>
      </c>
      <c r="DH82" s="31">
        <v>0.98158179848320692</v>
      </c>
      <c r="DI82" s="31">
        <v>0.96784565916398713</v>
      </c>
      <c r="DJ82" s="31">
        <v>0.98494623655913982</v>
      </c>
      <c r="DK82" s="31">
        <v>0.98583877995642699</v>
      </c>
      <c r="DL82" s="31">
        <v>0.98931623931623935</v>
      </c>
      <c r="DM82" s="31">
        <v>0.97207303974221271</v>
      </c>
      <c r="DN82" s="31">
        <v>0.97818625566611417</v>
      </c>
      <c r="DO82" s="31">
        <v>0.97228144989339016</v>
      </c>
      <c r="DP82" s="31">
        <v>0.9786324786324786</v>
      </c>
      <c r="DQ82" s="31">
        <v>0.97021276595744677</v>
      </c>
      <c r="DR82" s="31">
        <v>0.96702127659574466</v>
      </c>
      <c r="DS82" s="31">
        <v>0.98509052183173584</v>
      </c>
      <c r="DT82" s="31">
        <v>0.95137420718816068</v>
      </c>
      <c r="DU82" s="31">
        <v>0.99030172413793105</v>
      </c>
      <c r="DV82" s="31">
        <v>0.97355920346241243</v>
      </c>
      <c r="DW82" s="31">
        <v>0.96767241379310343</v>
      </c>
      <c r="DX82" s="31">
        <v>0.9808714133900106</v>
      </c>
      <c r="DY82" s="31">
        <v>0.96012931034482762</v>
      </c>
      <c r="DZ82" s="31">
        <v>0.99032258064516132</v>
      </c>
      <c r="EA82" s="31">
        <v>0.97647058823529409</v>
      </c>
      <c r="EB82" s="31">
        <v>0.9754535752401281</v>
      </c>
      <c r="EC82" s="31">
        <v>0.86552828175026686</v>
      </c>
      <c r="ED82" s="31">
        <v>0.95949259477125604</v>
      </c>
      <c r="EE82" s="31">
        <v>0.98735511064278192</v>
      </c>
      <c r="EF82" s="31">
        <v>0.97433155080213907</v>
      </c>
      <c r="EG82" s="31">
        <v>0.99049630411826817</v>
      </c>
      <c r="EH82" s="31">
        <v>0.98204857444561777</v>
      </c>
      <c r="EI82" s="31">
        <v>0.97881355932203384</v>
      </c>
      <c r="EJ82" s="31">
        <v>0.98524762908324548</v>
      </c>
      <c r="EK82" s="31">
        <v>0.98947368421052628</v>
      </c>
      <c r="EL82" s="31">
        <v>0.9839666303749447</v>
      </c>
    </row>
    <row r="83" spans="38:142" x14ac:dyDescent="0.35">
      <c r="AL83" s="19" t="s">
        <v>336</v>
      </c>
      <c r="AM83" s="31">
        <v>0.91721132897603486</v>
      </c>
      <c r="AN83" s="31">
        <v>0.94420600858369097</v>
      </c>
      <c r="AO83" s="31">
        <v>0.89035087719298245</v>
      </c>
      <c r="AP83" s="31">
        <v>0.91666666666666663</v>
      </c>
      <c r="AQ83" s="31">
        <v>0.93449781659388642</v>
      </c>
      <c r="AR83" s="31">
        <v>0.93695652173913047</v>
      </c>
      <c r="AS83" s="31">
        <v>0.93978494623655917</v>
      </c>
      <c r="AT83" s="31">
        <v>0.92566773799842161</v>
      </c>
      <c r="AU83" s="31">
        <v>0.97995545657015593</v>
      </c>
      <c r="AV83" s="31">
        <v>0.97149122807017541</v>
      </c>
      <c r="AW83" s="31">
        <v>0.91611479028697573</v>
      </c>
      <c r="AX83" s="31">
        <v>0.88716814159292035</v>
      </c>
      <c r="AY83" s="31">
        <v>0.96162528216704291</v>
      </c>
      <c r="AZ83" s="31">
        <v>0.94298245614035092</v>
      </c>
      <c r="BA83" s="31">
        <v>0.9397321428571429</v>
      </c>
      <c r="BB83" s="31">
        <v>0.94272421395496642</v>
      </c>
      <c r="BC83" s="31">
        <v>0.93697478991596639</v>
      </c>
      <c r="BD83" s="31">
        <v>0.94618834080717484</v>
      </c>
      <c r="BE83" s="31">
        <v>0.89977728285077951</v>
      </c>
      <c r="BF83" s="31">
        <v>0.88025210084033612</v>
      </c>
      <c r="BG83" s="31">
        <v>0.93150684931506844</v>
      </c>
      <c r="BH83" s="31">
        <v>0.97104677060133626</v>
      </c>
      <c r="BI83" s="31">
        <v>0.93468468468468469</v>
      </c>
      <c r="BJ83" s="31">
        <v>0.92863297414504942</v>
      </c>
      <c r="BK83" s="31">
        <v>0.81877729257641918</v>
      </c>
      <c r="BL83" s="31">
        <v>0.91897654584221744</v>
      </c>
      <c r="BM83" s="31">
        <v>0.72052401746724892</v>
      </c>
      <c r="BN83" s="31">
        <v>0.75431034482758619</v>
      </c>
      <c r="BO83" s="31">
        <v>0.83111111111111113</v>
      </c>
      <c r="BP83" s="31">
        <v>0.96595744680851059</v>
      </c>
      <c r="BQ83" s="31">
        <v>0.88815789473684215</v>
      </c>
      <c r="BR83" s="31">
        <v>0.84254495048141942</v>
      </c>
      <c r="BS83" s="31">
        <v>0.94190871369294604</v>
      </c>
      <c r="BT83" s="31">
        <v>0.83405172413793105</v>
      </c>
      <c r="BU83" s="31">
        <v>0.90041493775933612</v>
      </c>
      <c r="BV83" s="31">
        <v>0.91476091476091481</v>
      </c>
      <c r="BW83" s="31">
        <v>0.93970893970893976</v>
      </c>
      <c r="BX83" s="31">
        <v>0.92372881355932202</v>
      </c>
      <c r="BY83" s="31">
        <v>0.9543568464730291</v>
      </c>
      <c r="BZ83" s="31">
        <v>0.91556155572748843</v>
      </c>
      <c r="CA83" s="31">
        <v>0.9181034482758621</v>
      </c>
      <c r="CB83" s="31">
        <v>0.95106382978723403</v>
      </c>
      <c r="CC83" s="31">
        <v>0.9181034482758621</v>
      </c>
      <c r="CD83" s="31">
        <v>0.90712742980561556</v>
      </c>
      <c r="CE83" s="31">
        <v>0.95787139689578715</v>
      </c>
      <c r="CF83" s="31">
        <v>0.94029850746268662</v>
      </c>
      <c r="CG83" s="31">
        <v>0.94456289978678043</v>
      </c>
      <c r="CH83" s="31">
        <v>0.93387585146997532</v>
      </c>
      <c r="CI83" s="31">
        <v>0.94957983193277307</v>
      </c>
      <c r="CJ83" s="31">
        <v>0.95095948827292109</v>
      </c>
      <c r="CK83" s="31">
        <v>0.88135593220338981</v>
      </c>
      <c r="CL83" s="31">
        <v>0.89194915254237284</v>
      </c>
      <c r="CM83" s="31">
        <v>0.97268907563025209</v>
      </c>
      <c r="CN83" s="31">
        <v>0.96186440677966101</v>
      </c>
      <c r="CO83" s="31">
        <v>0.9726315789473684</v>
      </c>
      <c r="CP83" s="31">
        <v>0.94014706661553404</v>
      </c>
      <c r="CQ83" s="31">
        <v>0.90086206896551724</v>
      </c>
      <c r="CR83" s="31">
        <v>0.93008474576271183</v>
      </c>
      <c r="CS83" s="31">
        <v>0.88559322033898302</v>
      </c>
      <c r="CT83" s="31">
        <v>0.86440677966101698</v>
      </c>
      <c r="CU83" s="31">
        <v>0.93220338983050843</v>
      </c>
      <c r="CV83" s="31">
        <v>0.94915254237288138</v>
      </c>
      <c r="CW83" s="31">
        <v>0.94703389830508478</v>
      </c>
      <c r="CX83" s="31">
        <v>0.91561952074810071</v>
      </c>
      <c r="CY83" s="31">
        <v>0.95358649789029537</v>
      </c>
      <c r="CZ83" s="31">
        <v>0.94067796610169496</v>
      </c>
      <c r="DA83" s="31">
        <v>0.90077821011673154</v>
      </c>
      <c r="DB83" s="31">
        <v>0.87152034261241973</v>
      </c>
      <c r="DC83" s="31">
        <v>0.96881496881496887</v>
      </c>
      <c r="DD83" s="31">
        <v>0.9668737060041408</v>
      </c>
      <c r="DE83" s="31">
        <v>0.9355509355509356</v>
      </c>
      <c r="DF83" s="31">
        <v>0.93397180387016954</v>
      </c>
      <c r="DG83" s="31">
        <v>0.92718446601941751</v>
      </c>
      <c r="DH83" s="31">
        <v>0.91489361702127658</v>
      </c>
      <c r="DI83" s="31">
        <v>0.91304347826086951</v>
      </c>
      <c r="DJ83" s="31">
        <v>0.93156732891832228</v>
      </c>
      <c r="DK83" s="31">
        <v>0.91584158415841588</v>
      </c>
      <c r="DL83" s="31">
        <v>0.94170403587443952</v>
      </c>
      <c r="DM83" s="31">
        <v>0.97852028639618138</v>
      </c>
      <c r="DN83" s="31">
        <v>0.93182211380698887</v>
      </c>
      <c r="DO83" s="31">
        <v>0.9038854805725971</v>
      </c>
      <c r="DP83" s="31">
        <v>0.94444444444444442</v>
      </c>
      <c r="DQ83" s="31">
        <v>0.85416666666666663</v>
      </c>
      <c r="DR83" s="31">
        <v>0.84873949579831931</v>
      </c>
      <c r="DS83" s="31">
        <v>0.9117043121149897</v>
      </c>
      <c r="DT83" s="31">
        <v>0.97251585623678649</v>
      </c>
      <c r="DU83" s="31">
        <v>0.90778688524590168</v>
      </c>
      <c r="DV83" s="31">
        <v>0.90617759158281508</v>
      </c>
      <c r="DW83" s="31">
        <v>0.90672451193058567</v>
      </c>
      <c r="DX83" s="31">
        <v>0.92436974789915971</v>
      </c>
      <c r="DY83" s="31">
        <v>0.90631808278867099</v>
      </c>
      <c r="DZ83" s="31">
        <v>0.8928571428571429</v>
      </c>
      <c r="EA83" s="31">
        <v>0.92274678111587982</v>
      </c>
      <c r="EB83" s="31">
        <v>0.96058091286307057</v>
      </c>
      <c r="EC83" s="31">
        <v>0.91721132897603486</v>
      </c>
      <c r="ED83" s="31">
        <v>0.91868692977579214</v>
      </c>
      <c r="EE83" s="31">
        <v>0.94181034482758619</v>
      </c>
      <c r="EF83" s="31">
        <v>0.95964125560538116</v>
      </c>
      <c r="EG83" s="31">
        <v>0.94243070362473347</v>
      </c>
      <c r="EH83" s="31">
        <v>0.88272921108742008</v>
      </c>
      <c r="EI83" s="31">
        <v>0.94882729211087424</v>
      </c>
      <c r="EJ83" s="31">
        <v>0.95614035087719296</v>
      </c>
      <c r="EK83" s="31">
        <v>0.93886462882096067</v>
      </c>
      <c r="EL83" s="31">
        <v>0.93863482670773546</v>
      </c>
    </row>
    <row r="84" spans="38:142" x14ac:dyDescent="0.35">
      <c r="AL84" s="19" t="s">
        <v>129</v>
      </c>
      <c r="AM84" s="31">
        <v>0.94260869565217387</v>
      </c>
      <c r="AN84" s="31">
        <v>0.89824561403508774</v>
      </c>
      <c r="AO84" s="31">
        <v>0.91349480968858132</v>
      </c>
      <c r="AP84" s="31">
        <v>0.90972222222222221</v>
      </c>
      <c r="AQ84" s="31">
        <v>0.93934142114384744</v>
      </c>
      <c r="AR84" s="31">
        <v>0.94336283185840708</v>
      </c>
      <c r="AS84" s="31">
        <v>0.94035087719298249</v>
      </c>
      <c r="AT84" s="31">
        <v>0.92673235311332891</v>
      </c>
      <c r="AU84" s="31">
        <v>0.9363166953528399</v>
      </c>
      <c r="AV84" s="31">
        <v>0.91666666666666663</v>
      </c>
      <c r="AW84" s="31">
        <v>0.9106529209621993</v>
      </c>
      <c r="AX84" s="31">
        <v>0.91095890410958902</v>
      </c>
      <c r="AY84" s="31">
        <v>0.94791666666666663</v>
      </c>
      <c r="AZ84" s="31">
        <v>0.93425605536332179</v>
      </c>
      <c r="BA84" s="31">
        <v>0.93368237347294936</v>
      </c>
      <c r="BB84" s="31">
        <v>0.92720718322774753</v>
      </c>
      <c r="BC84" s="31">
        <v>0.93048128342245995</v>
      </c>
      <c r="BD84" s="31">
        <v>0.93174061433447097</v>
      </c>
      <c r="BE84" s="31">
        <v>0.90876565295169942</v>
      </c>
      <c r="BF84" s="31">
        <v>0.92500000000000004</v>
      </c>
      <c r="BG84" s="31">
        <v>0.93565217391304345</v>
      </c>
      <c r="BH84" s="31">
        <v>0.94809688581314877</v>
      </c>
      <c r="BI84" s="31">
        <v>0.94320137693631667</v>
      </c>
      <c r="BJ84" s="31">
        <v>0.93184828391016272</v>
      </c>
      <c r="BK84" s="31">
        <v>0.87813620071684584</v>
      </c>
      <c r="BL84" s="31">
        <v>0.93035714285714288</v>
      </c>
      <c r="BM84" s="31">
        <v>0.77396021699819173</v>
      </c>
      <c r="BN84" s="31">
        <v>0.78815080789946135</v>
      </c>
      <c r="BO84" s="31">
        <v>0.90843806104129265</v>
      </c>
      <c r="BP84" s="31">
        <v>0.92307692307692313</v>
      </c>
      <c r="BQ84" s="31">
        <v>0.92057761732851984</v>
      </c>
      <c r="BR84" s="31">
        <v>0.8746709957026253</v>
      </c>
      <c r="BS84" s="31">
        <v>0.91862567811934903</v>
      </c>
      <c r="BT84" s="31">
        <v>0.8303571428571429</v>
      </c>
      <c r="BU84" s="31">
        <v>0.91192660550458715</v>
      </c>
      <c r="BV84" s="31">
        <v>0.92592592592592593</v>
      </c>
      <c r="BW84" s="31">
        <v>0.91681735985533452</v>
      </c>
      <c r="BX84" s="31">
        <v>0.88440366972477069</v>
      </c>
      <c r="BY84" s="31">
        <v>0.87010676156583633</v>
      </c>
      <c r="BZ84" s="31">
        <v>0.89402330622184945</v>
      </c>
      <c r="CA84" s="31">
        <v>0.95</v>
      </c>
      <c r="CB84" s="31">
        <v>0.91851851851851851</v>
      </c>
      <c r="CC84" s="31">
        <v>0.9358490566037736</v>
      </c>
      <c r="CD84" s="31">
        <v>0.94475138121546964</v>
      </c>
      <c r="CE84" s="31">
        <v>0.91851851851851851</v>
      </c>
      <c r="CF84" s="31">
        <v>0.91851851851851851</v>
      </c>
      <c r="CG84" s="31">
        <v>0.91851851851851851</v>
      </c>
      <c r="CH84" s="31">
        <v>0.92923921598475967</v>
      </c>
      <c r="CI84" s="31">
        <v>0.91891891891891897</v>
      </c>
      <c r="CJ84" s="31">
        <v>0.93442622950819676</v>
      </c>
      <c r="CK84" s="31">
        <v>0.89698046181172286</v>
      </c>
      <c r="CL84" s="31">
        <v>0.90161001788908768</v>
      </c>
      <c r="CM84" s="31">
        <v>0.90476190476190477</v>
      </c>
      <c r="CN84" s="31">
        <v>0.92820512820512824</v>
      </c>
      <c r="CO84" s="31">
        <v>0.92452830188679247</v>
      </c>
      <c r="CP84" s="31">
        <v>0.9156329947116788</v>
      </c>
      <c r="CQ84" s="31">
        <v>0.91985428051001816</v>
      </c>
      <c r="CR84" s="31">
        <v>0.93035714285714288</v>
      </c>
      <c r="CS84" s="31">
        <v>0.92100538599640935</v>
      </c>
      <c r="CT84" s="31">
        <v>0.91351351351351351</v>
      </c>
      <c r="CU84" s="31">
        <v>0.91851851851851851</v>
      </c>
      <c r="CV84" s="31">
        <v>0.92652329749103945</v>
      </c>
      <c r="CW84" s="31">
        <v>0.93283582089552242</v>
      </c>
      <c r="CX84" s="31">
        <v>0.92322970854030906</v>
      </c>
      <c r="CY84" s="31">
        <v>0.93728222996515675</v>
      </c>
      <c r="CZ84" s="31">
        <v>0.92035398230088494</v>
      </c>
      <c r="DA84" s="31">
        <v>0.89806678383128291</v>
      </c>
      <c r="DB84" s="31">
        <v>0.9</v>
      </c>
      <c r="DC84" s="31">
        <v>0.93067590987868287</v>
      </c>
      <c r="DD84" s="31">
        <v>0.92160278745644597</v>
      </c>
      <c r="DE84" s="31">
        <v>0.9307958477508651</v>
      </c>
      <c r="DF84" s="31">
        <v>0.91982536302618823</v>
      </c>
      <c r="DG84" s="31">
        <v>0.94003527336860671</v>
      </c>
      <c r="DH84" s="31">
        <v>0.9078498293515358</v>
      </c>
      <c r="DI84" s="31">
        <v>0.9159369527145359</v>
      </c>
      <c r="DJ84" s="31">
        <v>0.88790035587188609</v>
      </c>
      <c r="DK84" s="31">
        <v>0.93240901213171579</v>
      </c>
      <c r="DL84" s="31">
        <v>0.93664383561643838</v>
      </c>
      <c r="DM84" s="31">
        <v>0.95711835334476847</v>
      </c>
      <c r="DN84" s="31">
        <v>0.92541337319992678</v>
      </c>
      <c r="DO84" s="31">
        <v>0.92970123022847095</v>
      </c>
      <c r="DP84" s="31">
        <v>0.9097345132743363</v>
      </c>
      <c r="DQ84" s="31">
        <v>0.84879725085910651</v>
      </c>
      <c r="DR84" s="31">
        <v>0.85492227979274615</v>
      </c>
      <c r="DS84" s="31">
        <v>0.92618629173989453</v>
      </c>
      <c r="DT84" s="31">
        <v>0.90086956521739125</v>
      </c>
      <c r="DU84" s="31">
        <v>0.90718038528896672</v>
      </c>
      <c r="DV84" s="31">
        <v>0.89677021662870171</v>
      </c>
      <c r="DW84" s="31">
        <v>0.91454545454545455</v>
      </c>
      <c r="DX84" s="31">
        <v>0.88082901554404147</v>
      </c>
      <c r="DY84" s="31">
        <v>0.91985428051001816</v>
      </c>
      <c r="DZ84" s="31">
        <v>0.87725631768953072</v>
      </c>
      <c r="EA84" s="31">
        <v>0.92114695340501795</v>
      </c>
      <c r="EB84" s="31">
        <v>0.90344827586206899</v>
      </c>
      <c r="EC84" s="31">
        <v>0.90034965034965031</v>
      </c>
      <c r="ED84" s="31">
        <v>0.90248999255796869</v>
      </c>
      <c r="EE84" s="31">
        <v>0.92495636998254804</v>
      </c>
      <c r="EF84" s="31">
        <v>0.92041522491349481</v>
      </c>
      <c r="EG84" s="31">
        <v>0.901213171577123</v>
      </c>
      <c r="EH84" s="31">
        <v>0.87456445993031362</v>
      </c>
      <c r="EI84" s="31">
        <v>0.91901408450704225</v>
      </c>
      <c r="EJ84" s="31">
        <v>0.94645941278065626</v>
      </c>
      <c r="EK84" s="31">
        <v>0.92534722222222221</v>
      </c>
      <c r="EL84" s="31">
        <v>0.91599570655905715</v>
      </c>
    </row>
    <row r="85" spans="38:142" x14ac:dyDescent="0.35">
      <c r="AL85" s="19" t="s">
        <v>130</v>
      </c>
      <c r="AM85" s="31">
        <v>0.95771670190274838</v>
      </c>
      <c r="AN85" s="31">
        <v>0.97155361050328226</v>
      </c>
      <c r="AO85" s="31">
        <v>0.95374449339207046</v>
      </c>
      <c r="AP85" s="31">
        <v>0.94849785407725318</v>
      </c>
      <c r="AQ85" s="31">
        <v>0.96320346320346317</v>
      </c>
      <c r="AR85" s="31">
        <v>0.96536796536796532</v>
      </c>
      <c r="AS85" s="31">
        <v>0.96382978723404256</v>
      </c>
      <c r="AT85" s="31">
        <v>0.96055912509726082</v>
      </c>
      <c r="AU85" s="31">
        <v>0.96559139784946235</v>
      </c>
      <c r="AV85" s="31">
        <v>0.95085470085470081</v>
      </c>
      <c r="AW85" s="31">
        <v>0.96808510638297873</v>
      </c>
      <c r="AX85" s="31">
        <v>0.95445134575569357</v>
      </c>
      <c r="AY85" s="31">
        <v>0.97484276729559749</v>
      </c>
      <c r="AZ85" s="31">
        <v>0.97257383966244726</v>
      </c>
      <c r="BA85" s="31">
        <v>0.97703549060542794</v>
      </c>
      <c r="BB85" s="31">
        <v>0.96620494977232974</v>
      </c>
      <c r="BC85" s="31">
        <v>0.95940170940170943</v>
      </c>
      <c r="BD85" s="31">
        <v>0.96631578947368424</v>
      </c>
      <c r="BE85" s="31">
        <v>0.90476190476190477</v>
      </c>
      <c r="BF85" s="31">
        <v>0.87799564270152508</v>
      </c>
      <c r="BG85" s="31">
        <v>0.98283261802575106</v>
      </c>
      <c r="BH85" s="31">
        <v>0.99143468950749469</v>
      </c>
      <c r="BI85" s="31">
        <v>0.96989247311827953</v>
      </c>
      <c r="BJ85" s="31">
        <v>0.95037640385576405</v>
      </c>
      <c r="BK85" s="31">
        <v>0.85314685314685312</v>
      </c>
      <c r="BL85" s="31">
        <v>0.90455531453362259</v>
      </c>
      <c r="BM85" s="31">
        <v>0.82057416267942584</v>
      </c>
      <c r="BN85" s="31">
        <v>0.80778588807785889</v>
      </c>
      <c r="BO85" s="31">
        <v>0.86774941995359633</v>
      </c>
      <c r="BP85" s="31">
        <v>0.92778993435448576</v>
      </c>
      <c r="BQ85" s="31">
        <v>0.93438914027149322</v>
      </c>
      <c r="BR85" s="31">
        <v>0.8737129590024767</v>
      </c>
      <c r="BS85" s="31">
        <v>0.93396226415094341</v>
      </c>
      <c r="BT85" s="31">
        <v>0.86881188118811881</v>
      </c>
      <c r="BU85" s="31">
        <v>0.9</v>
      </c>
      <c r="BV85" s="31">
        <v>0.89485981308411211</v>
      </c>
      <c r="BW85" s="31">
        <v>0.93055555555555558</v>
      </c>
      <c r="BX85" s="31">
        <v>0.90625</v>
      </c>
      <c r="BY85" s="31">
        <v>0.93525179856115104</v>
      </c>
      <c r="BZ85" s="31">
        <v>0.9099559017914115</v>
      </c>
      <c r="CA85" s="31">
        <v>0.9334763948497854</v>
      </c>
      <c r="CB85" s="31">
        <v>0.92147806004618937</v>
      </c>
      <c r="CC85" s="31">
        <v>0.93569844789356982</v>
      </c>
      <c r="CD85" s="31">
        <v>0.93736501079913603</v>
      </c>
      <c r="CE85" s="31">
        <v>0.94181034482758619</v>
      </c>
      <c r="CF85" s="31">
        <v>0.95584988962472406</v>
      </c>
      <c r="CG85" s="31">
        <v>0.94396551724137934</v>
      </c>
      <c r="CH85" s="31">
        <v>0.93852052361176708</v>
      </c>
      <c r="CI85" s="31">
        <v>0.91946308724832215</v>
      </c>
      <c r="CJ85" s="31">
        <v>0.95289079229122053</v>
      </c>
      <c r="CK85" s="31">
        <v>0.92660550458715596</v>
      </c>
      <c r="CL85" s="31">
        <v>0.91304347826086951</v>
      </c>
      <c r="CM85" s="31">
        <v>0.95067264573991028</v>
      </c>
      <c r="CN85" s="31">
        <v>0.94989106753812635</v>
      </c>
      <c r="CO85" s="31">
        <v>0.9247787610619469</v>
      </c>
      <c r="CP85" s="31">
        <v>0.93390647667536442</v>
      </c>
      <c r="CQ85" s="31">
        <v>0.95374449339207046</v>
      </c>
      <c r="CR85" s="31">
        <v>0.9101123595505618</v>
      </c>
      <c r="CS85" s="31">
        <v>0.92239467849223944</v>
      </c>
      <c r="CT85" s="31">
        <v>0.92342342342342343</v>
      </c>
      <c r="CU85" s="31">
        <v>0.9652173913043478</v>
      </c>
      <c r="CV85" s="31">
        <v>0.97816593886462877</v>
      </c>
      <c r="CW85" s="31">
        <v>0.96753246753246758</v>
      </c>
      <c r="CX85" s="31">
        <v>0.94579867893710556</v>
      </c>
      <c r="CY85" s="31">
        <v>0.9417249417249417</v>
      </c>
      <c r="CZ85" s="31">
        <v>0.92511013215859028</v>
      </c>
      <c r="DA85" s="31">
        <v>0.96226415094339623</v>
      </c>
      <c r="DB85" s="31">
        <v>0.93055555555555558</v>
      </c>
      <c r="DC85" s="31">
        <v>0.91803278688524592</v>
      </c>
      <c r="DD85" s="31">
        <v>0.91111111111111109</v>
      </c>
      <c r="DE85" s="31">
        <v>0.95143487858719644</v>
      </c>
      <c r="DF85" s="31">
        <v>0.93431907956657667</v>
      </c>
      <c r="DG85" s="31">
        <v>0.98076923076923073</v>
      </c>
      <c r="DH85" s="31">
        <v>0.9486607142857143</v>
      </c>
      <c r="DI85" s="31">
        <v>0.94989106753812635</v>
      </c>
      <c r="DJ85" s="31">
        <v>0.93709327548806942</v>
      </c>
      <c r="DK85" s="31">
        <v>0.96963123644251625</v>
      </c>
      <c r="DL85" s="31">
        <v>0.95594713656387664</v>
      </c>
      <c r="DM85" s="31">
        <v>0.96420581655480986</v>
      </c>
      <c r="DN85" s="31">
        <v>0.95802835394890618</v>
      </c>
      <c r="DO85" s="31">
        <v>0.94618834080717484</v>
      </c>
      <c r="DP85" s="31">
        <v>0.96583143507972669</v>
      </c>
      <c r="DQ85" s="31">
        <v>0.97065462753950338</v>
      </c>
      <c r="DR85" s="31">
        <v>0.9598214285714286</v>
      </c>
      <c r="DS85" s="31">
        <v>0.94956140350877194</v>
      </c>
      <c r="DT85" s="31">
        <v>0.95814977973568283</v>
      </c>
      <c r="DU85" s="31">
        <v>0.963963963963964</v>
      </c>
      <c r="DV85" s="31">
        <v>0.95916728274375029</v>
      </c>
      <c r="DW85" s="31">
        <v>0.96853932584269664</v>
      </c>
      <c r="DX85" s="31">
        <v>0.97797356828193838</v>
      </c>
      <c r="DY85" s="31">
        <v>0.9732142857142857</v>
      </c>
      <c r="DZ85" s="31">
        <v>0.9419642857142857</v>
      </c>
      <c r="EA85" s="31">
        <v>0.98222222222222222</v>
      </c>
      <c r="EB85" s="31">
        <v>0.97180043383947934</v>
      </c>
      <c r="EC85" s="31">
        <v>0.9668141592920354</v>
      </c>
      <c r="ED85" s="31">
        <v>0.9689326115581347</v>
      </c>
      <c r="EE85" s="31">
        <v>0.95896328293736499</v>
      </c>
      <c r="EF85" s="31">
        <v>0.94712643678160924</v>
      </c>
      <c r="EG85" s="31">
        <v>0.95</v>
      </c>
      <c r="EH85" s="31">
        <v>0.9454976303317536</v>
      </c>
      <c r="EI85" s="31">
        <v>0.96760259179265662</v>
      </c>
      <c r="EJ85" s="31">
        <v>0.97505668934240364</v>
      </c>
      <c r="EK85" s="31">
        <v>0.95991091314031185</v>
      </c>
      <c r="EL85" s="31">
        <v>0.95773679204658568</v>
      </c>
    </row>
    <row r="86" spans="38:142" x14ac:dyDescent="0.35">
      <c r="AL86" s="19" t="s">
        <v>131</v>
      </c>
      <c r="AM86" s="31">
        <v>0.95492487479131882</v>
      </c>
      <c r="AN86" s="31">
        <v>0.96632996632996637</v>
      </c>
      <c r="AO86" s="31">
        <v>0.93189368770764125</v>
      </c>
      <c r="AP86" s="31">
        <v>0.9626485568760611</v>
      </c>
      <c r="AQ86" s="31">
        <v>0.96232876712328763</v>
      </c>
      <c r="AR86" s="31">
        <v>0.95093062605752965</v>
      </c>
      <c r="AS86" s="31">
        <v>0.94639865996649919</v>
      </c>
      <c r="AT86" s="31">
        <v>0.95363644840747208</v>
      </c>
      <c r="AU86" s="31">
        <v>0.95336787564766834</v>
      </c>
      <c r="AV86" s="31">
        <v>0.97283531409168078</v>
      </c>
      <c r="AW86" s="31">
        <v>0.95061728395061729</v>
      </c>
      <c r="AX86" s="31">
        <v>0.98440207972270366</v>
      </c>
      <c r="AY86" s="31">
        <v>0.97297297297297303</v>
      </c>
      <c r="AZ86" s="31">
        <v>0.95918367346938771</v>
      </c>
      <c r="BA86" s="31">
        <v>0.95158597662771283</v>
      </c>
      <c r="BB86" s="31">
        <v>0.96356645378324901</v>
      </c>
      <c r="BC86" s="31">
        <v>0.97217675941080195</v>
      </c>
      <c r="BD86" s="31">
        <v>0.97197898423817863</v>
      </c>
      <c r="BE86" s="31">
        <v>0.96381578947368418</v>
      </c>
      <c r="BF86" s="31">
        <v>0.9375</v>
      </c>
      <c r="BG86" s="31">
        <v>0.98055105348460292</v>
      </c>
      <c r="BH86" s="31">
        <v>0.97770154373927964</v>
      </c>
      <c r="BI86" s="31">
        <v>0.971947194719472</v>
      </c>
      <c r="BJ86" s="31">
        <v>0.96795304643800262</v>
      </c>
      <c r="BK86" s="31">
        <v>0.87372013651877134</v>
      </c>
      <c r="BL86" s="31">
        <v>0.9286898839137645</v>
      </c>
      <c r="BM86" s="31">
        <v>0.75302245250431776</v>
      </c>
      <c r="BN86" s="31">
        <v>0.81174438687392059</v>
      </c>
      <c r="BO86" s="31">
        <v>0.84628378378378377</v>
      </c>
      <c r="BP86" s="31">
        <v>0.9492635024549918</v>
      </c>
      <c r="BQ86" s="31">
        <v>0.89559543230016314</v>
      </c>
      <c r="BR86" s="31">
        <v>0.86547422547853048</v>
      </c>
      <c r="BS86" s="31">
        <v>0.95667244367417681</v>
      </c>
      <c r="BT86" s="31">
        <v>0.8682432432432432</v>
      </c>
      <c r="BU86" s="31">
        <v>0.98239436619718312</v>
      </c>
      <c r="BV86" s="31">
        <v>0.97077922077922074</v>
      </c>
      <c r="BW86" s="31">
        <v>0.9642857142857143</v>
      </c>
      <c r="BX86" s="31">
        <v>0.90689655172413797</v>
      </c>
      <c r="BY86" s="31">
        <v>0.95567375886524819</v>
      </c>
      <c r="BZ86" s="31">
        <v>0.94356361410984635</v>
      </c>
      <c r="CA86" s="31">
        <v>0.96737588652482265</v>
      </c>
      <c r="CB86" s="31">
        <v>0.98107255520504733</v>
      </c>
      <c r="CC86" s="31">
        <v>0.96159527326440175</v>
      </c>
      <c r="CD86" s="31">
        <v>0.95420974889217136</v>
      </c>
      <c r="CE86" s="31">
        <v>0.9748520710059172</v>
      </c>
      <c r="CF86" s="31">
        <v>1</v>
      </c>
      <c r="CG86" s="31">
        <v>0.91642228739002929</v>
      </c>
      <c r="CH86" s="31">
        <v>0.96507540318319851</v>
      </c>
      <c r="CI86" s="31">
        <v>0.9579100145137881</v>
      </c>
      <c r="CJ86" s="31">
        <v>0.95209580838323349</v>
      </c>
      <c r="CK86" s="31">
        <v>0.92365269461077848</v>
      </c>
      <c r="CL86" s="31">
        <v>0.93459302325581395</v>
      </c>
      <c r="CM86" s="31">
        <v>0.97097242380261251</v>
      </c>
      <c r="CN86" s="31">
        <v>0.9598214285714286</v>
      </c>
      <c r="CO86" s="31">
        <v>0.95977011494252873</v>
      </c>
      <c r="CP86" s="31">
        <v>0.95125935829716923</v>
      </c>
      <c r="CQ86" s="31">
        <v>0.95217391304347831</v>
      </c>
      <c r="CR86" s="31">
        <v>0.95050946142649195</v>
      </c>
      <c r="CS86" s="31">
        <v>0.91594202898550725</v>
      </c>
      <c r="CT86" s="31">
        <v>0.94222222222222218</v>
      </c>
      <c r="CU86" s="31">
        <v>0.9431486880466472</v>
      </c>
      <c r="CV86" s="31">
        <v>0.9606986899563319</v>
      </c>
      <c r="CW86" s="31">
        <v>0.93449781659388642</v>
      </c>
      <c r="CX86" s="31">
        <v>0.942741831467795</v>
      </c>
      <c r="CY86" s="31">
        <v>0.96198830409356728</v>
      </c>
      <c r="CZ86" s="31">
        <v>0.96607669616519176</v>
      </c>
      <c r="DA86" s="31">
        <v>0.94752186588921283</v>
      </c>
      <c r="DB86" s="31">
        <v>0.9552023121387283</v>
      </c>
      <c r="DC86" s="31">
        <v>0.94736842105263153</v>
      </c>
      <c r="DD86" s="31">
        <v>0.97938144329896903</v>
      </c>
      <c r="DE86" s="31">
        <v>0.9692982456140351</v>
      </c>
      <c r="DF86" s="31">
        <v>0.96097675546461936</v>
      </c>
      <c r="DG86" s="31">
        <v>0.95526695526695526</v>
      </c>
      <c r="DH86" s="31">
        <v>0.96965317919075145</v>
      </c>
      <c r="DI86" s="31">
        <v>0.93795093795093798</v>
      </c>
      <c r="DJ86" s="31">
        <v>0.96392496392496396</v>
      </c>
      <c r="DK86" s="31">
        <v>0.95021961932650079</v>
      </c>
      <c r="DL86" s="31">
        <v>0.98693759071117559</v>
      </c>
      <c r="DM86" s="31">
        <v>0.94775036284470249</v>
      </c>
      <c r="DN86" s="31">
        <v>0.95881480131656971</v>
      </c>
      <c r="DO86" s="31">
        <v>0.96783625730994149</v>
      </c>
      <c r="DP86" s="31">
        <v>0.95652173913043481</v>
      </c>
      <c r="DQ86" s="31">
        <v>0.93576642335766425</v>
      </c>
      <c r="DR86" s="31">
        <v>0.96052631578947367</v>
      </c>
      <c r="DS86" s="31">
        <v>0.97660818713450293</v>
      </c>
      <c r="DT86" s="31">
        <v>0.97218155197657397</v>
      </c>
      <c r="DU86" s="31">
        <v>0.97391304347826091</v>
      </c>
      <c r="DV86" s="31">
        <v>0.96333621688240734</v>
      </c>
      <c r="DW86" s="31">
        <v>0.95876288659793818</v>
      </c>
      <c r="DX86" s="31">
        <v>0.98405797101449277</v>
      </c>
      <c r="DY86" s="31">
        <v>0.95766423357664232</v>
      </c>
      <c r="DZ86" s="31">
        <v>0.97781065088757402</v>
      </c>
      <c r="EA86" s="31">
        <v>0.98830409356725146</v>
      </c>
      <c r="EB86" s="31">
        <v>0.98689956331877726</v>
      </c>
      <c r="EC86" s="31">
        <v>0.97813411078717205</v>
      </c>
      <c r="ED86" s="31">
        <v>0.97594764424997837</v>
      </c>
      <c r="EE86" s="31">
        <v>0.96934306569343065</v>
      </c>
      <c r="EF86" s="31">
        <v>0.9722627737226277</v>
      </c>
      <c r="EG86" s="31">
        <v>0.96701649175412296</v>
      </c>
      <c r="EH86" s="31">
        <v>0.96307237813884783</v>
      </c>
      <c r="EI86" s="31">
        <v>0.96788321167883207</v>
      </c>
      <c r="EJ86" s="31">
        <v>0.97185185185185186</v>
      </c>
      <c r="EK86" s="31">
        <v>0.96759941089837997</v>
      </c>
      <c r="EL86" s="31">
        <v>0.96843274053401329</v>
      </c>
    </row>
    <row r="87" spans="38:142" x14ac:dyDescent="0.35">
      <c r="AL87" s="19" t="s">
        <v>132</v>
      </c>
      <c r="AM87" s="31">
        <v>0.85034013605442171</v>
      </c>
      <c r="AN87" s="31">
        <v>0.78767123287671237</v>
      </c>
      <c r="AO87" s="31">
        <v>0.81560283687943258</v>
      </c>
      <c r="AP87" s="31">
        <v>0.78378378378378377</v>
      </c>
      <c r="AQ87" s="31">
        <v>0.82432432432432434</v>
      </c>
      <c r="AR87" s="31">
        <v>0.82432432432432434</v>
      </c>
      <c r="AS87" s="31">
        <v>0.85906040268456374</v>
      </c>
      <c r="AT87" s="31">
        <v>0.82072957727536611</v>
      </c>
      <c r="AU87" s="31">
        <v>0.75</v>
      </c>
      <c r="AV87" s="31">
        <v>0.74829931972789121</v>
      </c>
      <c r="AW87" s="31">
        <v>0.65540540540540537</v>
      </c>
      <c r="AX87" s="31">
        <v>0.64137931034482754</v>
      </c>
      <c r="AY87" s="31">
        <v>0.81756756756756754</v>
      </c>
      <c r="AZ87" s="31">
        <v>0.85810810810810811</v>
      </c>
      <c r="BA87" s="31">
        <v>0.83221476510067116</v>
      </c>
      <c r="BB87" s="31">
        <v>0.75756778232206734</v>
      </c>
      <c r="BC87" s="31">
        <v>0.76388888888888884</v>
      </c>
      <c r="BD87" s="31">
        <v>0.73943661971830987</v>
      </c>
      <c r="BE87" s="31">
        <v>0.63513513513513509</v>
      </c>
      <c r="BF87" s="31">
        <v>0.59333333333333338</v>
      </c>
      <c r="BG87" s="31">
        <v>0.7651006711409396</v>
      </c>
      <c r="BH87" s="31">
        <v>0.78378378378378377</v>
      </c>
      <c r="BI87" s="31">
        <v>0.84459459459459463</v>
      </c>
      <c r="BJ87" s="31">
        <v>0.73218186094214077</v>
      </c>
      <c r="BK87" s="31">
        <v>0.61594202898550721</v>
      </c>
      <c r="BL87" s="31">
        <v>0.647887323943662</v>
      </c>
      <c r="BM87" s="31">
        <v>0.43243243243243246</v>
      </c>
      <c r="BN87" s="31">
        <v>0.55319148936170215</v>
      </c>
      <c r="BO87" s="31">
        <v>0.77443609022556392</v>
      </c>
      <c r="BP87" s="31">
        <v>0.72916666666666663</v>
      </c>
      <c r="BQ87" s="31">
        <v>0.7720588235294118</v>
      </c>
      <c r="BR87" s="31">
        <v>0.64644497930642086</v>
      </c>
      <c r="BS87" s="31">
        <v>0.72932330827067671</v>
      </c>
      <c r="BT87" s="31">
        <v>0.63503649635036497</v>
      </c>
      <c r="BU87" s="31">
        <v>0.752</v>
      </c>
      <c r="BV87" s="31">
        <v>0.68702290076335881</v>
      </c>
      <c r="BW87" s="31">
        <v>0.71223021582733814</v>
      </c>
      <c r="BX87" s="31">
        <v>0.58108108108108103</v>
      </c>
      <c r="BY87" s="31">
        <v>0.6216216216216216</v>
      </c>
      <c r="BZ87" s="31">
        <v>0.67404508913063432</v>
      </c>
      <c r="CA87" s="31">
        <v>0.69064748201438853</v>
      </c>
      <c r="CB87" s="31">
        <v>0.59285714285714286</v>
      </c>
      <c r="CC87" s="31">
        <v>0.69117647058823528</v>
      </c>
      <c r="CD87" s="31">
        <v>0.65</v>
      </c>
      <c r="CE87" s="31">
        <v>0.7142857142857143</v>
      </c>
      <c r="CF87" s="31">
        <v>0.68382352941176472</v>
      </c>
      <c r="CG87" s="31">
        <v>0.73571428571428577</v>
      </c>
      <c r="CH87" s="31">
        <v>0.6797863749816474</v>
      </c>
      <c r="CI87" s="31">
        <v>0.80555555555555558</v>
      </c>
      <c r="CJ87" s="31">
        <v>0.73880597014925375</v>
      </c>
      <c r="CK87" s="31">
        <v>0.70068027210884354</v>
      </c>
      <c r="CL87" s="31">
        <v>0.68027210884353739</v>
      </c>
      <c r="CM87" s="31">
        <v>0.75342465753424659</v>
      </c>
      <c r="CN87" s="31">
        <v>0.67625899280575541</v>
      </c>
      <c r="CO87" s="31">
        <v>0.76760563380281688</v>
      </c>
      <c r="CP87" s="31">
        <v>0.73180045582857267</v>
      </c>
      <c r="CQ87" s="31">
        <v>0.74829931972789121</v>
      </c>
      <c r="CR87" s="31">
        <v>0.64429530201342278</v>
      </c>
      <c r="CS87" s="31">
        <v>0.77304964539007093</v>
      </c>
      <c r="CT87" s="31">
        <v>0.70068027210884354</v>
      </c>
      <c r="CU87" s="31">
        <v>0.84459459459459463</v>
      </c>
      <c r="CV87" s="31">
        <v>0.74100719424460426</v>
      </c>
      <c r="CW87" s="31">
        <v>0.76351351351351349</v>
      </c>
      <c r="CX87" s="31">
        <v>0.74506283451327715</v>
      </c>
      <c r="CY87" s="31">
        <v>0.76870748299319724</v>
      </c>
      <c r="CZ87" s="31">
        <v>0.64583333333333337</v>
      </c>
      <c r="DA87" s="31">
        <v>0.74829931972789121</v>
      </c>
      <c r="DB87" s="31">
        <v>0.73333333333333328</v>
      </c>
      <c r="DC87" s="31">
        <v>0.77702702702702697</v>
      </c>
      <c r="DD87" s="31">
        <v>0.73648648648648651</v>
      </c>
      <c r="DE87" s="31">
        <v>0.73333333333333328</v>
      </c>
      <c r="DF87" s="31">
        <v>0.73471718803351471</v>
      </c>
      <c r="DG87" s="31">
        <v>0.84246575342465757</v>
      </c>
      <c r="DH87" s="31">
        <v>0.77027027027027029</v>
      </c>
      <c r="DI87" s="31">
        <v>0.86567164179104472</v>
      </c>
      <c r="DJ87" s="31">
        <v>0.77083333333333337</v>
      </c>
      <c r="DK87" s="31">
        <v>0.78231292517006801</v>
      </c>
      <c r="DL87" s="31">
        <v>0.79729729729729726</v>
      </c>
      <c r="DM87" s="31">
        <v>0.75167785234899331</v>
      </c>
      <c r="DN87" s="31">
        <v>0.79721843909080914</v>
      </c>
      <c r="DO87" s="31">
        <v>0.83561643835616439</v>
      </c>
      <c r="DP87" s="31">
        <v>0.72972972972972971</v>
      </c>
      <c r="DQ87" s="31">
        <v>0.70666666666666667</v>
      </c>
      <c r="DR87" s="31">
        <v>0.73469387755102045</v>
      </c>
      <c r="DS87" s="31">
        <v>0.83108108108108103</v>
      </c>
      <c r="DT87" s="31">
        <v>0.79729729729729726</v>
      </c>
      <c r="DU87" s="31">
        <v>0.8783783783783784</v>
      </c>
      <c r="DV87" s="31">
        <v>0.78763763843719115</v>
      </c>
      <c r="DW87" s="31">
        <v>0.80136986301369861</v>
      </c>
      <c r="DX87" s="31">
        <v>0.79729729729729726</v>
      </c>
      <c r="DY87" s="31">
        <v>0.83206106870229013</v>
      </c>
      <c r="DZ87" s="31">
        <v>0.84172661870503596</v>
      </c>
      <c r="EA87" s="31">
        <v>0.78620689655172415</v>
      </c>
      <c r="EB87" s="31">
        <v>0.8231292517006803</v>
      </c>
      <c r="EC87" s="31">
        <v>0.77702702702702697</v>
      </c>
      <c r="ED87" s="31">
        <v>0.80840257471396471</v>
      </c>
      <c r="EE87" s="31">
        <v>0.78082191780821919</v>
      </c>
      <c r="EF87" s="31">
        <v>0.80821917808219179</v>
      </c>
      <c r="EG87" s="31">
        <v>0.67938931297709926</v>
      </c>
      <c r="EH87" s="31">
        <v>0.70344827586206893</v>
      </c>
      <c r="EI87" s="31">
        <v>0.73049645390070927</v>
      </c>
      <c r="EJ87" s="31">
        <v>0.89864864864864868</v>
      </c>
      <c r="EK87" s="31">
        <v>0.90476190476190477</v>
      </c>
      <c r="EL87" s="31">
        <v>0.78654081314869173</v>
      </c>
    </row>
    <row r="88" spans="38:142" x14ac:dyDescent="0.35">
      <c r="AL88" s="19" t="s">
        <v>133</v>
      </c>
      <c r="AM88" s="31">
        <v>0.89792899408284022</v>
      </c>
      <c r="AN88" s="31">
        <v>0.92170542635658914</v>
      </c>
      <c r="AO88" s="31">
        <v>0.87878787878787878</v>
      </c>
      <c r="AP88" s="31">
        <v>0.86691449814126398</v>
      </c>
      <c r="AQ88" s="31">
        <v>0.89504804138950478</v>
      </c>
      <c r="AR88" s="31">
        <v>0.90797546012269936</v>
      </c>
      <c r="AS88" s="31">
        <v>0.90327494287890331</v>
      </c>
      <c r="AT88" s="31">
        <v>0.89594789167995426</v>
      </c>
      <c r="AU88" s="31">
        <v>0.89662921348314606</v>
      </c>
      <c r="AV88" s="31">
        <v>0.89272318079519875</v>
      </c>
      <c r="AW88" s="31">
        <v>0.86350148367952517</v>
      </c>
      <c r="AX88" s="31">
        <v>0.8672106824925816</v>
      </c>
      <c r="AY88" s="31">
        <v>0.91492537313432831</v>
      </c>
      <c r="AZ88" s="31">
        <v>0.91910112359550566</v>
      </c>
      <c r="BA88" s="31">
        <v>0.91207153502235472</v>
      </c>
      <c r="BB88" s="31">
        <v>0.89516608460037705</v>
      </c>
      <c r="BC88" s="31">
        <v>0.87031484257871061</v>
      </c>
      <c r="BD88" s="31">
        <v>0.88930163447251109</v>
      </c>
      <c r="BE88" s="31">
        <v>0.83793876026885739</v>
      </c>
      <c r="BF88" s="31">
        <v>0.82820705176294074</v>
      </c>
      <c r="BG88" s="31">
        <v>0.89580209895052476</v>
      </c>
      <c r="BH88" s="31">
        <v>0.88971684053651268</v>
      </c>
      <c r="BI88" s="31">
        <v>0.90433482810164423</v>
      </c>
      <c r="BJ88" s="31">
        <v>0.87365943666738588</v>
      </c>
      <c r="BK88" s="31">
        <v>0.7935285053929122</v>
      </c>
      <c r="BL88" s="31">
        <v>0.84487951807228912</v>
      </c>
      <c r="BM88" s="31">
        <v>0.72424722662440566</v>
      </c>
      <c r="BN88" s="31">
        <v>0.72460317460317458</v>
      </c>
      <c r="BO88" s="31">
        <v>0.82384615384615389</v>
      </c>
      <c r="BP88" s="31">
        <v>0.86731634182908546</v>
      </c>
      <c r="BQ88" s="31">
        <v>0.85125858123569798</v>
      </c>
      <c r="BR88" s="31">
        <v>0.8042399288005313</v>
      </c>
      <c r="BS88" s="31">
        <v>0.85430968726163237</v>
      </c>
      <c r="BT88" s="31">
        <v>0.75198098256735346</v>
      </c>
      <c r="BU88" s="31">
        <v>0.85603715170278638</v>
      </c>
      <c r="BV88" s="31">
        <v>0.88124999999999998</v>
      </c>
      <c r="BW88" s="31">
        <v>0.86526479750778817</v>
      </c>
      <c r="BX88" s="31">
        <v>0.78804780876494029</v>
      </c>
      <c r="BY88" s="31">
        <v>0.81752988047808761</v>
      </c>
      <c r="BZ88" s="31">
        <v>0.83063147261179826</v>
      </c>
      <c r="CA88" s="31">
        <v>0.8980694980694981</v>
      </c>
      <c r="CB88" s="31">
        <v>0.87786259541984735</v>
      </c>
      <c r="CC88" s="31">
        <v>0.87146136189747514</v>
      </c>
      <c r="CD88" s="31">
        <v>0.88402457757296471</v>
      </c>
      <c r="CE88" s="31">
        <v>0.91085271317829453</v>
      </c>
      <c r="CF88" s="31">
        <v>0.9172521467603435</v>
      </c>
      <c r="CG88" s="31">
        <v>0.91796875</v>
      </c>
      <c r="CH88" s="31">
        <v>0.89678452041406043</v>
      </c>
      <c r="CI88" s="31">
        <v>0.92200772200772196</v>
      </c>
      <c r="CJ88" s="31">
        <v>0.91539634146341464</v>
      </c>
      <c r="CK88" s="31">
        <v>0.91274131274131276</v>
      </c>
      <c r="CL88" s="31">
        <v>0.92183908045977014</v>
      </c>
      <c r="CM88" s="31">
        <v>0.91234756097560976</v>
      </c>
      <c r="CN88" s="31">
        <v>0.91570881226053635</v>
      </c>
      <c r="CO88" s="31">
        <v>0.9327731092436975</v>
      </c>
      <c r="CP88" s="31">
        <v>0.91897341987886605</v>
      </c>
      <c r="CQ88" s="31">
        <v>0.92907248636009354</v>
      </c>
      <c r="CR88" s="31">
        <v>0.93812070282658522</v>
      </c>
      <c r="CS88" s="31">
        <v>0.90054390054390054</v>
      </c>
      <c r="CT88" s="31">
        <v>0.90755007704160251</v>
      </c>
      <c r="CU88" s="31">
        <v>0.91257668711656437</v>
      </c>
      <c r="CV88" s="31">
        <v>0.94041252864782277</v>
      </c>
      <c r="CW88" s="31">
        <v>0.92083013066871633</v>
      </c>
      <c r="CX88" s="31">
        <v>0.92130093045789785</v>
      </c>
      <c r="CY88" s="31">
        <v>0.89133738601823709</v>
      </c>
      <c r="CZ88" s="31">
        <v>0.93220338983050843</v>
      </c>
      <c r="DA88" s="31">
        <v>0.8900928792569659</v>
      </c>
      <c r="DB88" s="31">
        <v>0.8904109589041096</v>
      </c>
      <c r="DC88" s="31">
        <v>0.92188708430007738</v>
      </c>
      <c r="DD88" s="31">
        <v>0.91858678955453144</v>
      </c>
      <c r="DE88" s="31">
        <v>0.91802010827532865</v>
      </c>
      <c r="DF88" s="31">
        <v>0.9089340851628227</v>
      </c>
      <c r="DG88" s="31">
        <v>0.90273556231003038</v>
      </c>
      <c r="DH88" s="31">
        <v>0.90570342205323195</v>
      </c>
      <c r="DI88" s="31">
        <v>0.88997739261492093</v>
      </c>
      <c r="DJ88" s="31">
        <v>0.90964312832194383</v>
      </c>
      <c r="DK88" s="31">
        <v>0.88296296296296295</v>
      </c>
      <c r="DL88" s="31">
        <v>0.90929878048780488</v>
      </c>
      <c r="DM88" s="31">
        <v>0.90765765765765771</v>
      </c>
      <c r="DN88" s="31">
        <v>0.90113984377265044</v>
      </c>
      <c r="DO88" s="31">
        <v>0.87314540059347179</v>
      </c>
      <c r="DP88" s="31">
        <v>0.91259259259259262</v>
      </c>
      <c r="DQ88" s="31">
        <v>0.87014925373134333</v>
      </c>
      <c r="DR88" s="31">
        <v>0.88698884758364316</v>
      </c>
      <c r="DS88" s="31">
        <v>0.89734121122599708</v>
      </c>
      <c r="DT88" s="31">
        <v>0.90360559234731419</v>
      </c>
      <c r="DU88" s="31">
        <v>0.90294117647058825</v>
      </c>
      <c r="DV88" s="31">
        <v>0.89239486779213573</v>
      </c>
      <c r="DW88" s="31">
        <v>0.89652623798965259</v>
      </c>
      <c r="DX88" s="31">
        <v>0.8995535714285714</v>
      </c>
      <c r="DY88" s="31">
        <v>0.86380737396538754</v>
      </c>
      <c r="DZ88" s="31">
        <v>0.85832705350414473</v>
      </c>
      <c r="EA88" s="31">
        <v>0.90324963072378139</v>
      </c>
      <c r="EB88" s="31">
        <v>0.90666666666666662</v>
      </c>
      <c r="EC88" s="31">
        <v>0.91524163568773231</v>
      </c>
      <c r="ED88" s="31">
        <v>0.89191030999513365</v>
      </c>
      <c r="EE88" s="31">
        <v>0.91949778434268836</v>
      </c>
      <c r="EF88" s="31">
        <v>0.88614232209737831</v>
      </c>
      <c r="EG88" s="31">
        <v>0.89639970609845698</v>
      </c>
      <c r="EH88" s="31">
        <v>0.88838951310861425</v>
      </c>
      <c r="EI88" s="31">
        <v>0.90648011782032401</v>
      </c>
      <c r="EJ88" s="31">
        <v>0.89874353288987441</v>
      </c>
      <c r="EK88" s="31">
        <v>0.91333333333333333</v>
      </c>
      <c r="EL88" s="31">
        <v>0.90128375852723852</v>
      </c>
    </row>
    <row r="89" spans="38:142" x14ac:dyDescent="0.35">
      <c r="AL89" s="19" t="s">
        <v>134</v>
      </c>
      <c r="AM89" s="31">
        <v>0.94736842105263153</v>
      </c>
      <c r="AN89" s="31">
        <v>0.90879478827361559</v>
      </c>
      <c r="AO89" s="31">
        <v>0.92561983471074383</v>
      </c>
      <c r="AP89" s="31">
        <v>0.96095076400679114</v>
      </c>
      <c r="AQ89" s="31">
        <v>0.93517017828200977</v>
      </c>
      <c r="AR89" s="31">
        <v>0.94983818770226536</v>
      </c>
      <c r="AS89" s="31">
        <v>0.9513776337115073</v>
      </c>
      <c r="AT89" s="31">
        <v>0.93987425824850923</v>
      </c>
      <c r="AU89" s="31">
        <v>0.92195121951219516</v>
      </c>
      <c r="AV89" s="31">
        <v>0.94498381877022652</v>
      </c>
      <c r="AW89" s="31">
        <v>0.92760942760942766</v>
      </c>
      <c r="AX89" s="31">
        <v>0.94227504244482174</v>
      </c>
      <c r="AY89" s="31">
        <v>0.9252032520325203</v>
      </c>
      <c r="AZ89" s="31">
        <v>0.95792880258899671</v>
      </c>
      <c r="BA89" s="31">
        <v>0.92718446601941751</v>
      </c>
      <c r="BB89" s="31">
        <v>0.93530514699680078</v>
      </c>
      <c r="BC89" s="31">
        <v>0.91736930860033727</v>
      </c>
      <c r="BD89" s="31">
        <v>0.97246127366609292</v>
      </c>
      <c r="BE89" s="31">
        <v>0.90556492411467115</v>
      </c>
      <c r="BF89" s="31">
        <v>0.89678510998307948</v>
      </c>
      <c r="BG89" s="31">
        <v>0.92060810810810811</v>
      </c>
      <c r="BH89" s="31">
        <v>0.97962648556876064</v>
      </c>
      <c r="BI89" s="31">
        <v>0.97623089983022071</v>
      </c>
      <c r="BJ89" s="31">
        <v>0.93837801569589574</v>
      </c>
      <c r="BK89" s="31">
        <v>0.87520798668885191</v>
      </c>
      <c r="BL89" s="31">
        <v>0.91447368421052633</v>
      </c>
      <c r="BM89" s="31">
        <v>0.87520798668885191</v>
      </c>
      <c r="BN89" s="31">
        <v>0.74875207986688852</v>
      </c>
      <c r="BO89" s="31">
        <v>0.90476190476190477</v>
      </c>
      <c r="BP89" s="31">
        <v>0.93500000000000005</v>
      </c>
      <c r="BQ89" s="31">
        <v>0.92892561983471078</v>
      </c>
      <c r="BR89" s="31">
        <v>0.88318989457881913</v>
      </c>
      <c r="BS89" s="31">
        <v>0.95932203389830506</v>
      </c>
      <c r="BT89" s="31">
        <v>0.85856905158069885</v>
      </c>
      <c r="BU89" s="31">
        <v>0.91186440677966096</v>
      </c>
      <c r="BV89" s="31">
        <v>0.93389830508474581</v>
      </c>
      <c r="BW89" s="31">
        <v>0.96327212020033393</v>
      </c>
      <c r="BX89" s="31">
        <v>0.90515806988352743</v>
      </c>
      <c r="BY89" s="31">
        <v>0.93178036605657233</v>
      </c>
      <c r="BZ89" s="31">
        <v>0.92340919335483496</v>
      </c>
      <c r="CA89" s="31">
        <v>0.93573667711598751</v>
      </c>
      <c r="CB89" s="31">
        <v>0.94406779661016949</v>
      </c>
      <c r="CC89" s="31">
        <v>0.88401253918495293</v>
      </c>
      <c r="CD89" s="31">
        <v>0.87774294670846398</v>
      </c>
      <c r="CE89" s="31">
        <v>0.96405228758169936</v>
      </c>
      <c r="CF89" s="31">
        <v>0.94918032786885242</v>
      </c>
      <c r="CG89" s="31">
        <v>0.9560260586319218</v>
      </c>
      <c r="CH89" s="31">
        <v>0.93011694767172115</v>
      </c>
      <c r="CI89" s="31">
        <v>0.96217105263157898</v>
      </c>
      <c r="CJ89" s="31">
        <v>0.954983922829582</v>
      </c>
      <c r="CK89" s="31">
        <v>0.94581280788177335</v>
      </c>
      <c r="CL89" s="31">
        <v>0.9464285714285714</v>
      </c>
      <c r="CM89" s="31">
        <v>0.96052631578947367</v>
      </c>
      <c r="CN89" s="31">
        <v>0.95382165605095537</v>
      </c>
      <c r="CO89" s="31">
        <v>0.95169082125603865</v>
      </c>
      <c r="CP89" s="31">
        <v>0.95363359255256763</v>
      </c>
      <c r="CQ89" s="31">
        <v>0.9371980676328503</v>
      </c>
      <c r="CR89" s="31">
        <v>0.95367412140575081</v>
      </c>
      <c r="CS89" s="31">
        <v>0.90113452188006482</v>
      </c>
      <c r="CT89" s="31">
        <v>0.8878048780487805</v>
      </c>
      <c r="CU89" s="31">
        <v>0.91585760517799353</v>
      </c>
      <c r="CV89" s="31">
        <v>0.93522906793048977</v>
      </c>
      <c r="CW89" s="31">
        <v>0.94813614262560775</v>
      </c>
      <c r="CX89" s="31">
        <v>0.92557634352879103</v>
      </c>
      <c r="CY89" s="31">
        <v>0.89789303079416527</v>
      </c>
      <c r="CZ89" s="31">
        <v>0.91114701130856224</v>
      </c>
      <c r="DA89" s="31">
        <v>0.88006482982171796</v>
      </c>
      <c r="DB89" s="31">
        <v>0.86385737439222043</v>
      </c>
      <c r="DC89" s="31">
        <v>0.94032258064516128</v>
      </c>
      <c r="DD89" s="31">
        <v>0.91935483870967738</v>
      </c>
      <c r="DE89" s="31">
        <v>0.92270531400966183</v>
      </c>
      <c r="DF89" s="31">
        <v>0.90504928281159525</v>
      </c>
      <c r="DG89" s="31">
        <v>0.93983739837398372</v>
      </c>
      <c r="DH89" s="31">
        <v>0.91085899513776336</v>
      </c>
      <c r="DI89" s="31">
        <v>0.90243902439024393</v>
      </c>
      <c r="DJ89" s="31">
        <v>0.88943089430894307</v>
      </c>
      <c r="DK89" s="31">
        <v>0.93495934959349591</v>
      </c>
      <c r="DL89" s="31">
        <v>0.92996742671009769</v>
      </c>
      <c r="DM89" s="31">
        <v>0.91707317073170735</v>
      </c>
      <c r="DN89" s="31">
        <v>0.91779517989231929</v>
      </c>
      <c r="DO89" s="31">
        <v>0.92307692307692313</v>
      </c>
      <c r="DP89" s="31">
        <v>0.94003241491085898</v>
      </c>
      <c r="DQ89" s="31">
        <v>0.90834697217675942</v>
      </c>
      <c r="DR89" s="31">
        <v>0.92144026186579375</v>
      </c>
      <c r="DS89" s="31">
        <v>0.94918032786885242</v>
      </c>
      <c r="DT89" s="31">
        <v>0.97044334975369462</v>
      </c>
      <c r="DU89" s="31">
        <v>0.96540362438220761</v>
      </c>
      <c r="DV89" s="31">
        <v>0.93970341057644136</v>
      </c>
      <c r="DW89" s="31">
        <v>0.93739703459637558</v>
      </c>
      <c r="DX89" s="31">
        <v>0.97034596375617788</v>
      </c>
      <c r="DY89" s="31">
        <v>0.92333333333333334</v>
      </c>
      <c r="DZ89" s="31">
        <v>0.92320534223706174</v>
      </c>
      <c r="EA89" s="31">
        <v>0.93884297520661153</v>
      </c>
      <c r="EB89" s="31">
        <v>0.9818481848184818</v>
      </c>
      <c r="EC89" s="31">
        <v>0.95702479338842972</v>
      </c>
      <c r="ED89" s="31">
        <v>0.94742823247663888</v>
      </c>
      <c r="EE89" s="31">
        <v>0.95166666666666666</v>
      </c>
      <c r="EF89" s="31">
        <v>0.93223140495867773</v>
      </c>
      <c r="EG89" s="31">
        <v>0.95166666666666666</v>
      </c>
      <c r="EH89" s="31">
        <v>0.96333333333333337</v>
      </c>
      <c r="EI89" s="31">
        <v>0.95230263157894735</v>
      </c>
      <c r="EJ89" s="31">
        <v>0.95371900826446276</v>
      </c>
      <c r="EK89" s="31">
        <v>0.9734660033167496</v>
      </c>
      <c r="EL89" s="31">
        <v>0.95405510211221489</v>
      </c>
    </row>
    <row r="90" spans="38:142" x14ac:dyDescent="0.35">
      <c r="AL90" s="19" t="s">
        <v>135</v>
      </c>
      <c r="AM90" s="31">
        <v>0.89972144846796653</v>
      </c>
      <c r="AN90" s="31">
        <v>0.89903181189488246</v>
      </c>
      <c r="AO90" s="31">
        <v>0.87638888888888888</v>
      </c>
      <c r="AP90" s="31">
        <v>0.90681502086230881</v>
      </c>
      <c r="AQ90" s="31">
        <v>0.8876560332871013</v>
      </c>
      <c r="AR90" s="31">
        <v>0.90318118948824344</v>
      </c>
      <c r="AS90" s="31">
        <v>0.86998616874135548</v>
      </c>
      <c r="AT90" s="31">
        <v>0.89182579451867827</v>
      </c>
      <c r="AU90" s="31">
        <v>0.87551867219917012</v>
      </c>
      <c r="AV90" s="31">
        <v>0.94174757281553401</v>
      </c>
      <c r="AW90" s="31">
        <v>0.86382393397524071</v>
      </c>
      <c r="AX90" s="31">
        <v>0.84848484848484851</v>
      </c>
      <c r="AY90" s="31">
        <v>0.90921787709497204</v>
      </c>
      <c r="AZ90" s="31">
        <v>0.9182825484764543</v>
      </c>
      <c r="BA90" s="31">
        <v>0.8925619834710744</v>
      </c>
      <c r="BB90" s="31">
        <v>0.89280534807389922</v>
      </c>
      <c r="BC90" s="31">
        <v>0.88827586206896547</v>
      </c>
      <c r="BD90" s="31">
        <v>0.89589041095890409</v>
      </c>
      <c r="BE90" s="31">
        <v>0.86344827586206896</v>
      </c>
      <c r="BF90" s="31">
        <v>0.86878453038674031</v>
      </c>
      <c r="BG90" s="31">
        <v>0.90068965517241384</v>
      </c>
      <c r="BH90" s="31">
        <v>0.89118457300275478</v>
      </c>
      <c r="BI90" s="31">
        <v>0.89793103448275857</v>
      </c>
      <c r="BJ90" s="31">
        <v>0.88660062027637232</v>
      </c>
      <c r="BK90" s="31">
        <v>0.77517241379310342</v>
      </c>
      <c r="BL90" s="31">
        <v>0.89531680440771355</v>
      </c>
      <c r="BM90" s="31">
        <v>0.70758620689655172</v>
      </c>
      <c r="BN90" s="31">
        <v>0.75172413793103443</v>
      </c>
      <c r="BO90" s="31">
        <v>0.81818181818181823</v>
      </c>
      <c r="BP90" s="31">
        <v>0.87465564738292012</v>
      </c>
      <c r="BQ90" s="31">
        <v>0.86206896551724133</v>
      </c>
      <c r="BR90" s="31">
        <v>0.8121008563014831</v>
      </c>
      <c r="BS90" s="31">
        <v>0.87361111111111112</v>
      </c>
      <c r="BT90" s="31">
        <v>0.79034482758620694</v>
      </c>
      <c r="BU90" s="31">
        <v>0.87638888888888888</v>
      </c>
      <c r="BV90" s="31">
        <v>0.8862690707350902</v>
      </c>
      <c r="BW90" s="31">
        <v>0.89444444444444449</v>
      </c>
      <c r="BX90" s="31">
        <v>0.86344827586206896</v>
      </c>
      <c r="BY90" s="31">
        <v>0.89103448275862074</v>
      </c>
      <c r="BZ90" s="31">
        <v>0.86793444305520462</v>
      </c>
      <c r="CA90" s="31">
        <v>0.89664429530201339</v>
      </c>
      <c r="CB90" s="31">
        <v>0.93508287292817682</v>
      </c>
      <c r="CC90" s="31">
        <v>0.87700534759358284</v>
      </c>
      <c r="CD90" s="31">
        <v>0.91844919786096257</v>
      </c>
      <c r="CE90" s="31">
        <v>0.89452603471295056</v>
      </c>
      <c r="CF90" s="31">
        <v>0.93333333333333335</v>
      </c>
      <c r="CG90" s="31">
        <v>0.91200000000000003</v>
      </c>
      <c r="CH90" s="31">
        <v>0.9095772973901457</v>
      </c>
      <c r="CI90" s="31">
        <v>0.86315789473684212</v>
      </c>
      <c r="CJ90" s="31">
        <v>0.92715231788079466</v>
      </c>
      <c r="CK90" s="31">
        <v>0.80921052631578949</v>
      </c>
      <c r="CL90" s="31">
        <v>0.84073107049608353</v>
      </c>
      <c r="CM90" s="31">
        <v>0.86533333333333329</v>
      </c>
      <c r="CN90" s="31">
        <v>0.91766268260292161</v>
      </c>
      <c r="CO90" s="31">
        <v>0.87834224598930477</v>
      </c>
      <c r="CP90" s="31">
        <v>0.87165572447929562</v>
      </c>
      <c r="CQ90" s="31">
        <v>0.86807387862796836</v>
      </c>
      <c r="CR90" s="31">
        <v>0.88526727509778358</v>
      </c>
      <c r="CS90" s="31">
        <v>0.84514435695538059</v>
      </c>
      <c r="CT90" s="31">
        <v>0.84705882352941175</v>
      </c>
      <c r="CU90" s="31">
        <v>0.84876140808344203</v>
      </c>
      <c r="CV90" s="31">
        <v>0.86049543676662321</v>
      </c>
      <c r="CW90" s="31">
        <v>0.86962190352020863</v>
      </c>
      <c r="CX90" s="31">
        <v>0.86063186894011678</v>
      </c>
      <c r="CY90" s="31">
        <v>0.87002652519893897</v>
      </c>
      <c r="CZ90" s="31">
        <v>0.90837696335078533</v>
      </c>
      <c r="DA90" s="31">
        <v>0.84820239680426102</v>
      </c>
      <c r="DB90" s="31">
        <v>0.86990801576872534</v>
      </c>
      <c r="DC90" s="31">
        <v>0.87351778656126478</v>
      </c>
      <c r="DD90" s="31">
        <v>0.88874345549738221</v>
      </c>
      <c r="DE90" s="31">
        <v>0.88057742782152226</v>
      </c>
      <c r="DF90" s="31">
        <v>0.87705036728612573</v>
      </c>
      <c r="DG90" s="31">
        <v>0.86184210526315785</v>
      </c>
      <c r="DH90" s="31">
        <v>0.88976377952755903</v>
      </c>
      <c r="DI90" s="31">
        <v>0.85039370078740162</v>
      </c>
      <c r="DJ90" s="31">
        <v>0.87894736842105259</v>
      </c>
      <c r="DK90" s="31">
        <v>0.87270341207349078</v>
      </c>
      <c r="DL90" s="31">
        <v>0.91655629139072847</v>
      </c>
      <c r="DM90" s="31">
        <v>0.8998682476943346</v>
      </c>
      <c r="DN90" s="31">
        <v>0.88143927216538931</v>
      </c>
      <c r="DO90" s="31">
        <v>0.90588235294117647</v>
      </c>
      <c r="DP90" s="31">
        <v>0.9186351706036745</v>
      </c>
      <c r="DQ90" s="31">
        <v>0.84888304862023656</v>
      </c>
      <c r="DR90" s="31">
        <v>0.88421052631578945</v>
      </c>
      <c r="DS90" s="31">
        <v>0.90694626474442985</v>
      </c>
      <c r="DT90" s="31">
        <v>0.90432503276539977</v>
      </c>
      <c r="DU90" s="31">
        <v>0.89763779527559051</v>
      </c>
      <c r="DV90" s="31">
        <v>0.89521717018089952</v>
      </c>
      <c r="DW90" s="31">
        <v>0.84432717678100266</v>
      </c>
      <c r="DX90" s="31">
        <v>0.91590013140604465</v>
      </c>
      <c r="DY90" s="31">
        <v>0.81697612732095493</v>
      </c>
      <c r="DZ90" s="31">
        <v>0.85507246376811596</v>
      </c>
      <c r="EA90" s="31">
        <v>0.87798408488063662</v>
      </c>
      <c r="EB90" s="31">
        <v>0.91125827814569538</v>
      </c>
      <c r="EC90" s="31">
        <v>0.87846763540290618</v>
      </c>
      <c r="ED90" s="31">
        <v>0.87142655681505088</v>
      </c>
      <c r="EE90" s="31">
        <v>0.83311432325886992</v>
      </c>
      <c r="EF90" s="31">
        <v>0.91102257636122175</v>
      </c>
      <c r="EG90" s="31">
        <v>0.80079155672823221</v>
      </c>
      <c r="EH90" s="31">
        <v>0.82105263157894737</v>
      </c>
      <c r="EI90" s="31">
        <v>0.85375494071146241</v>
      </c>
      <c r="EJ90" s="31">
        <v>0.87483355525965378</v>
      </c>
      <c r="EK90" s="31">
        <v>0.86789960369881114</v>
      </c>
      <c r="EL90" s="31">
        <v>0.85178131251388556</v>
      </c>
    </row>
    <row r="91" spans="38:142" x14ac:dyDescent="0.35">
      <c r="AL91" s="19" t="s">
        <v>291</v>
      </c>
      <c r="AM91" s="31">
        <v>0.94871794871794868</v>
      </c>
      <c r="AN91" s="31">
        <v>0.9667194928684627</v>
      </c>
      <c r="AO91" s="31">
        <v>0.93689320388349517</v>
      </c>
      <c r="AP91" s="31">
        <v>0.92880258899676371</v>
      </c>
      <c r="AQ91" s="31">
        <v>0.94794952681388012</v>
      </c>
      <c r="AR91" s="31">
        <v>0.97327044025157228</v>
      </c>
      <c r="AS91" s="31">
        <v>0.95230524642289349</v>
      </c>
      <c r="AT91" s="31">
        <v>0.95066549256500232</v>
      </c>
      <c r="AU91" s="31">
        <v>0.96325878594249204</v>
      </c>
      <c r="AV91" s="31">
        <v>0.94174757281553401</v>
      </c>
      <c r="AW91" s="31">
        <v>0.94533762057877813</v>
      </c>
      <c r="AX91" s="31">
        <v>0.95118110236220477</v>
      </c>
      <c r="AY91" s="31">
        <v>0.96202531645569622</v>
      </c>
      <c r="AZ91" s="31">
        <v>0.96524486571879942</v>
      </c>
      <c r="BA91" s="31">
        <v>0.95238095238095233</v>
      </c>
      <c r="BB91" s="31">
        <v>0.95445374517920822</v>
      </c>
      <c r="BC91" s="31">
        <v>0.9683042789223455</v>
      </c>
      <c r="BD91" s="31">
        <v>0.97802197802197799</v>
      </c>
      <c r="BE91" s="31">
        <v>0.93958664546899839</v>
      </c>
      <c r="BF91" s="31">
        <v>0.93668831168831168</v>
      </c>
      <c r="BG91" s="31">
        <v>0.95840000000000003</v>
      </c>
      <c r="BH91" s="31">
        <v>0.9778129952456418</v>
      </c>
      <c r="BI91" s="31">
        <v>0.96214511041009465</v>
      </c>
      <c r="BJ91" s="31">
        <v>0.96013704567962432</v>
      </c>
      <c r="BK91" s="31">
        <v>0.89525368248772508</v>
      </c>
      <c r="BL91" s="31">
        <v>0.95786061588330629</v>
      </c>
      <c r="BM91" s="31">
        <v>0.80169491525423731</v>
      </c>
      <c r="BN91" s="31">
        <v>0.8158783783783784</v>
      </c>
      <c r="BO91" s="31">
        <v>0.93214862681744748</v>
      </c>
      <c r="BP91" s="31">
        <v>0.96479999999999999</v>
      </c>
      <c r="BQ91" s="31">
        <v>0.94720000000000004</v>
      </c>
      <c r="BR91" s="31">
        <v>0.90211945983158504</v>
      </c>
      <c r="BS91" s="31">
        <v>0.9626016260162602</v>
      </c>
      <c r="BT91" s="31">
        <v>0.90500000000000003</v>
      </c>
      <c r="BU91" s="31">
        <v>0.94184168012924074</v>
      </c>
      <c r="BV91" s="31">
        <v>0.94711538461538458</v>
      </c>
      <c r="BW91" s="31">
        <v>0.95161290322580649</v>
      </c>
      <c r="BX91" s="31">
        <v>0.92281879194630867</v>
      </c>
      <c r="BY91" s="31">
        <v>0.94728171334431632</v>
      </c>
      <c r="BZ91" s="31">
        <v>0.9397531570396167</v>
      </c>
      <c r="CA91" s="31">
        <v>0.95665634674922606</v>
      </c>
      <c r="CB91" s="31">
        <v>0.94855305466237938</v>
      </c>
      <c r="CC91" s="31">
        <v>0.9401574803149606</v>
      </c>
      <c r="CD91" s="31">
        <v>0.95819935691318325</v>
      </c>
      <c r="CE91" s="31">
        <v>0.97067901234567899</v>
      </c>
      <c r="CF91" s="31">
        <v>0.96349206349206351</v>
      </c>
      <c r="CG91" s="31">
        <v>0.95950155763239875</v>
      </c>
      <c r="CH91" s="31">
        <v>0.95674841030141278</v>
      </c>
      <c r="CI91" s="31">
        <v>0.93880837359098224</v>
      </c>
      <c r="CJ91" s="31">
        <v>0.9743178170144462</v>
      </c>
      <c r="CK91" s="31">
        <v>0.96059113300492616</v>
      </c>
      <c r="CL91" s="31">
        <v>0.9437299035369775</v>
      </c>
      <c r="CM91" s="31">
        <v>0.96850393700787396</v>
      </c>
      <c r="CN91" s="31">
        <v>0.96682464454976302</v>
      </c>
      <c r="CO91" s="31">
        <v>0.97049689440993792</v>
      </c>
      <c r="CP91" s="31">
        <v>0.9604675290164153</v>
      </c>
      <c r="CQ91" s="31">
        <v>0.96141479099678462</v>
      </c>
      <c r="CR91" s="31">
        <v>0.95899053627760256</v>
      </c>
      <c r="CS91" s="31">
        <v>0.95417348608837971</v>
      </c>
      <c r="CT91" s="31">
        <v>0.96266233766233766</v>
      </c>
      <c r="CU91" s="31">
        <v>0.95686900958466459</v>
      </c>
      <c r="CV91" s="31">
        <v>0.96190476190476193</v>
      </c>
      <c r="CW91" s="31">
        <v>0.95590551181102357</v>
      </c>
      <c r="CX91" s="31">
        <v>0.95884577633222201</v>
      </c>
      <c r="CY91" s="31">
        <v>0.95890410958904104</v>
      </c>
      <c r="CZ91" s="31">
        <v>0.9582664526484751</v>
      </c>
      <c r="DA91" s="31">
        <v>0.95839753466872113</v>
      </c>
      <c r="DB91" s="31">
        <v>0.95419847328244278</v>
      </c>
      <c r="DC91" s="31">
        <v>0.95787831513260535</v>
      </c>
      <c r="DD91" s="31">
        <v>0.96087636932707354</v>
      </c>
      <c r="DE91" s="31">
        <v>0.96190476190476193</v>
      </c>
      <c r="DF91" s="31">
        <v>0.95863228807901724</v>
      </c>
      <c r="DG91" s="31">
        <v>0.9512937595129376</v>
      </c>
      <c r="DH91" s="31">
        <v>0.9634703196347032</v>
      </c>
      <c r="DI91" s="31">
        <v>0.9401574803149606</v>
      </c>
      <c r="DJ91" s="31">
        <v>0.95283018867924529</v>
      </c>
      <c r="DK91" s="31">
        <v>0.94894894894894899</v>
      </c>
      <c r="DL91" s="31">
        <v>0.96572280178837555</v>
      </c>
      <c r="DM91" s="31">
        <v>0.95857988165680474</v>
      </c>
      <c r="DN91" s="31">
        <v>0.95442905436228231</v>
      </c>
      <c r="DO91" s="31">
        <v>0.95744680851063835</v>
      </c>
      <c r="DP91" s="31">
        <v>0.95993836671802768</v>
      </c>
      <c r="DQ91" s="31">
        <v>0.94135802469135799</v>
      </c>
      <c r="DR91" s="31">
        <v>0.92912172573189522</v>
      </c>
      <c r="DS91" s="31">
        <v>0.96363636363636362</v>
      </c>
      <c r="DT91" s="31">
        <v>0.97557251908396947</v>
      </c>
      <c r="DU91" s="31">
        <v>0.96466973886328722</v>
      </c>
      <c r="DV91" s="31">
        <v>0.95596336389079128</v>
      </c>
      <c r="DW91" s="31">
        <v>0.9604261796042618</v>
      </c>
      <c r="DX91" s="31">
        <v>0.96793893129770991</v>
      </c>
      <c r="DY91" s="31">
        <v>0.92523364485981308</v>
      </c>
      <c r="DZ91" s="31">
        <v>0.92713178294573639</v>
      </c>
      <c r="EA91" s="31">
        <v>0.95052473763118439</v>
      </c>
      <c r="EB91" s="31">
        <v>0.97443609022556388</v>
      </c>
      <c r="EC91" s="31">
        <v>0.94887218045112787</v>
      </c>
      <c r="ED91" s="31">
        <v>0.95065193528791381</v>
      </c>
      <c r="EE91" s="31">
        <v>0.94444444444444442</v>
      </c>
      <c r="EF91" s="31">
        <v>0.95</v>
      </c>
      <c r="EG91" s="31">
        <v>0.93779160186625199</v>
      </c>
      <c r="EH91" s="31">
        <v>0.94960629921259843</v>
      </c>
      <c r="EI91" s="31">
        <v>0.95193798449612399</v>
      </c>
      <c r="EJ91" s="31">
        <v>0.93568147013782543</v>
      </c>
      <c r="EK91" s="31">
        <v>0.95705521472392641</v>
      </c>
      <c r="EL91" s="31">
        <v>0.9466452878401671</v>
      </c>
    </row>
    <row r="92" spans="38:142" x14ac:dyDescent="0.35">
      <c r="AL92" s="19" t="s">
        <v>136</v>
      </c>
      <c r="AM92" s="31">
        <v>0.86927374301675975</v>
      </c>
      <c r="AN92" s="31">
        <v>0.86966292134831458</v>
      </c>
      <c r="AO92" s="31">
        <v>0.86547085201793716</v>
      </c>
      <c r="AP92" s="31">
        <v>0.87848383500557414</v>
      </c>
      <c r="AQ92" s="31">
        <v>0.8825503355704698</v>
      </c>
      <c r="AR92" s="31">
        <v>0.8893905191873589</v>
      </c>
      <c r="AS92" s="31">
        <v>0.8800448430493274</v>
      </c>
      <c r="AT92" s="31">
        <v>0.87641100702796315</v>
      </c>
      <c r="AU92" s="31">
        <v>0.87675675675675679</v>
      </c>
      <c r="AV92" s="31">
        <v>0.89215686274509809</v>
      </c>
      <c r="AW92" s="31">
        <v>0.87540628385698804</v>
      </c>
      <c r="AX92" s="31">
        <v>0.8292158968850698</v>
      </c>
      <c r="AY92" s="31">
        <v>0.88216216216216214</v>
      </c>
      <c r="AZ92" s="31">
        <v>0.91912568306010933</v>
      </c>
      <c r="BA92" s="31">
        <v>0.89740820734341253</v>
      </c>
      <c r="BB92" s="31">
        <v>0.8817474075442282</v>
      </c>
      <c r="BC92" s="31">
        <v>0.83387622149837137</v>
      </c>
      <c r="BD92" s="31">
        <v>0.83530678148546822</v>
      </c>
      <c r="BE92" s="31">
        <v>0.79321663019693656</v>
      </c>
      <c r="BF92" s="31">
        <v>0.81481481481481477</v>
      </c>
      <c r="BG92" s="31">
        <v>0.84716157205240172</v>
      </c>
      <c r="BH92" s="31">
        <v>0.84516129032258069</v>
      </c>
      <c r="BI92" s="31">
        <v>0.8431793770139635</v>
      </c>
      <c r="BJ92" s="31">
        <v>0.83038809819779114</v>
      </c>
      <c r="BK92" s="31">
        <v>0.73218390804597699</v>
      </c>
      <c r="BL92" s="31">
        <v>0.84382022471910112</v>
      </c>
      <c r="BM92" s="31">
        <v>0.68965517241379315</v>
      </c>
      <c r="BN92" s="31">
        <v>0.684652278177458</v>
      </c>
      <c r="BO92" s="31">
        <v>0.79467258601553825</v>
      </c>
      <c r="BP92" s="31">
        <v>0.81090100111234709</v>
      </c>
      <c r="BQ92" s="31">
        <v>0.78354002254791433</v>
      </c>
      <c r="BR92" s="31">
        <v>0.76277502757601845</v>
      </c>
      <c r="BS92" s="31">
        <v>0.8321596244131455</v>
      </c>
      <c r="BT92" s="31">
        <v>0.72770511296076101</v>
      </c>
      <c r="BU92" s="31">
        <v>0.81287246722288442</v>
      </c>
      <c r="BV92" s="31">
        <v>0.8562945368171021</v>
      </c>
      <c r="BW92" s="31">
        <v>0.84261501210653755</v>
      </c>
      <c r="BX92" s="31">
        <v>0.76420798065296247</v>
      </c>
      <c r="BY92" s="31">
        <v>0.79711884753901563</v>
      </c>
      <c r="BZ92" s="31">
        <v>0.80471051167320129</v>
      </c>
      <c r="CA92" s="31">
        <v>0.86721504112808456</v>
      </c>
      <c r="CB92" s="31">
        <v>0.86563614744351958</v>
      </c>
      <c r="CC92" s="31">
        <v>0.84490740740740744</v>
      </c>
      <c r="CD92" s="31">
        <v>0.85069444444444442</v>
      </c>
      <c r="CE92" s="31">
        <v>0.87426556991774385</v>
      </c>
      <c r="CF92" s="31">
        <v>0.87281213535589264</v>
      </c>
      <c r="CG92" s="31">
        <v>0.88520710059171592</v>
      </c>
      <c r="CH92" s="31">
        <v>0.86581969232697265</v>
      </c>
      <c r="CI92" s="31">
        <v>0.89651162790697669</v>
      </c>
      <c r="CJ92" s="31">
        <v>0.84302325581395354</v>
      </c>
      <c r="CK92" s="31">
        <v>0.88509670079635949</v>
      </c>
      <c r="CL92" s="31">
        <v>0.87785388127853881</v>
      </c>
      <c r="CM92" s="31">
        <v>0.87155963302752293</v>
      </c>
      <c r="CN92" s="31">
        <v>0.86114352392065341</v>
      </c>
      <c r="CO92" s="31">
        <v>0.8427095292766934</v>
      </c>
      <c r="CP92" s="31">
        <v>0.86827116457438547</v>
      </c>
      <c r="CQ92" s="31">
        <v>0.85648679678530426</v>
      </c>
      <c r="CR92" s="31">
        <v>0.88242009132420096</v>
      </c>
      <c r="CS92" s="31">
        <v>0.82623705408515535</v>
      </c>
      <c r="CT92" s="31">
        <v>0.83180778032036617</v>
      </c>
      <c r="CU92" s="31">
        <v>0.86405529953917048</v>
      </c>
      <c r="CV92" s="31">
        <v>0.86902050113895213</v>
      </c>
      <c r="CW92" s="31">
        <v>0.8620296465222349</v>
      </c>
      <c r="CX92" s="31">
        <v>0.85600816710219774</v>
      </c>
      <c r="CY92" s="31">
        <v>0.86179775280898874</v>
      </c>
      <c r="CZ92" s="31">
        <v>0.86025200458190154</v>
      </c>
      <c r="DA92" s="31">
        <v>0.88275862068965516</v>
      </c>
      <c r="DB92" s="31">
        <v>0.85584562996594782</v>
      </c>
      <c r="DC92" s="31">
        <v>0.86083052749719413</v>
      </c>
      <c r="DD92" s="31">
        <v>0.87428571428571433</v>
      </c>
      <c r="DE92" s="31">
        <v>0.85890257558790595</v>
      </c>
      <c r="DF92" s="31">
        <v>0.86495326077390111</v>
      </c>
      <c r="DG92" s="31">
        <v>0.88963963963963966</v>
      </c>
      <c r="DH92" s="31">
        <v>0.85585585585585588</v>
      </c>
      <c r="DI92" s="31">
        <v>0.86241610738255037</v>
      </c>
      <c r="DJ92" s="31">
        <v>0.8617614269788183</v>
      </c>
      <c r="DK92" s="31">
        <v>0.90697674418604646</v>
      </c>
      <c r="DL92" s="31">
        <v>0.86467889908256879</v>
      </c>
      <c r="DM92" s="31">
        <v>0.87416481069042318</v>
      </c>
      <c r="DN92" s="31">
        <v>0.87364192625941473</v>
      </c>
      <c r="DO92" s="31">
        <v>0.87982359426681367</v>
      </c>
      <c r="DP92" s="31">
        <v>0.88580931263858098</v>
      </c>
      <c r="DQ92" s="31">
        <v>0.86363636363636365</v>
      </c>
      <c r="DR92" s="31">
        <v>0.8526785714285714</v>
      </c>
      <c r="DS92" s="31">
        <v>0.88313120176405735</v>
      </c>
      <c r="DT92" s="31">
        <v>0.88287292817679563</v>
      </c>
      <c r="DU92" s="31">
        <v>0.88359201773835916</v>
      </c>
      <c r="DV92" s="31">
        <v>0.87593485566422014</v>
      </c>
      <c r="DW92" s="31">
        <v>0.9061810154525386</v>
      </c>
      <c r="DX92" s="31">
        <v>0.8876529477196885</v>
      </c>
      <c r="DY92" s="31">
        <v>0.92026578073089704</v>
      </c>
      <c r="DZ92" s="31">
        <v>0.91270718232044201</v>
      </c>
      <c r="EA92" s="31">
        <v>0.91049723756906076</v>
      </c>
      <c r="EB92" s="31">
        <v>0.88656387665198233</v>
      </c>
      <c r="EC92" s="31">
        <v>0.90576496674057649</v>
      </c>
      <c r="ED92" s="31">
        <v>0.90423328674074077</v>
      </c>
      <c r="EE92" s="31">
        <v>0.88261351052048731</v>
      </c>
      <c r="EF92" s="31">
        <v>0.92849284928492848</v>
      </c>
      <c r="EG92" s="31">
        <v>0.88876651982378851</v>
      </c>
      <c r="EH92" s="31">
        <v>0.89293598233995586</v>
      </c>
      <c r="EI92" s="31">
        <v>0.86283185840707965</v>
      </c>
      <c r="EJ92" s="31">
        <v>0.92154696132596681</v>
      </c>
      <c r="EK92" s="31">
        <v>0.89135254988913526</v>
      </c>
      <c r="EL92" s="31">
        <v>0.89550574737019173</v>
      </c>
    </row>
    <row r="93" spans="38:142" x14ac:dyDescent="0.35">
      <c r="AL93" s="19" t="s">
        <v>281</v>
      </c>
      <c r="AM93" s="31">
        <v>0.85267034990791901</v>
      </c>
      <c r="AN93" s="31">
        <v>0.82920110192837471</v>
      </c>
      <c r="AO93" s="31">
        <v>0.82962962962962961</v>
      </c>
      <c r="AP93" s="31">
        <v>0.85397412199630318</v>
      </c>
      <c r="AQ93" s="31">
        <v>0.8305709023941068</v>
      </c>
      <c r="AR93" s="31">
        <v>0.85976168652612284</v>
      </c>
      <c r="AS93" s="31">
        <v>0.85674931129476584</v>
      </c>
      <c r="AT93" s="31">
        <v>0.84465101481103166</v>
      </c>
      <c r="AU93" s="31">
        <v>0.86162361623616235</v>
      </c>
      <c r="AV93" s="31">
        <v>0.8662361623616236</v>
      </c>
      <c r="AW93" s="31">
        <v>0.85277777777777775</v>
      </c>
      <c r="AX93" s="31">
        <v>0.85202205882352944</v>
      </c>
      <c r="AY93" s="31">
        <v>0.86464088397790051</v>
      </c>
      <c r="AZ93" s="31">
        <v>0.88110599078341012</v>
      </c>
      <c r="BA93" s="31">
        <v>0.88175985334555451</v>
      </c>
      <c r="BB93" s="31">
        <v>0.86573804904370832</v>
      </c>
      <c r="BC93" s="31">
        <v>0.86538461538461542</v>
      </c>
      <c r="BD93" s="31">
        <v>0.88705234159779611</v>
      </c>
      <c r="BE93" s="31">
        <v>0.81843317972350227</v>
      </c>
      <c r="BF93" s="31">
        <v>0.81994459833795019</v>
      </c>
      <c r="BG93" s="31">
        <v>0.87545787545787546</v>
      </c>
      <c r="BH93" s="31">
        <v>0.90909090909090906</v>
      </c>
      <c r="BI93" s="31">
        <v>0.88848263254113347</v>
      </c>
      <c r="BJ93" s="31">
        <v>0.86626373601911166</v>
      </c>
      <c r="BK93" s="31">
        <v>0.74339622641509429</v>
      </c>
      <c r="BL93" s="31">
        <v>0.85648148148148151</v>
      </c>
      <c r="BM93" s="31">
        <v>0.65998089780324742</v>
      </c>
      <c r="BN93" s="31">
        <v>0.69023255813953488</v>
      </c>
      <c r="BO93" s="31">
        <v>0.78830083565459608</v>
      </c>
      <c r="BP93" s="31">
        <v>0.84722222222222221</v>
      </c>
      <c r="BQ93" s="31">
        <v>0.81255771006463529</v>
      </c>
      <c r="BR93" s="31">
        <v>0.77116741882583029</v>
      </c>
      <c r="BS93" s="31">
        <v>0.82527881040892193</v>
      </c>
      <c r="BT93" s="31">
        <v>0.69151910531220873</v>
      </c>
      <c r="BU93" s="31">
        <v>0.78551532033426186</v>
      </c>
      <c r="BV93" s="31">
        <v>0.82719546742209626</v>
      </c>
      <c r="BW93" s="31">
        <v>0.82616651418115283</v>
      </c>
      <c r="BX93" s="31">
        <v>0.80388529139685472</v>
      </c>
      <c r="BY93" s="31">
        <v>0.82119815668202767</v>
      </c>
      <c r="BZ93" s="31">
        <v>0.7972512379625033</v>
      </c>
      <c r="CA93" s="31">
        <v>0.87580496780128791</v>
      </c>
      <c r="CB93" s="31">
        <v>0.80733944954128445</v>
      </c>
      <c r="CC93" s="31">
        <v>0.88389513108614237</v>
      </c>
      <c r="CD93" s="31">
        <v>0.87673772011121409</v>
      </c>
      <c r="CE93" s="31">
        <v>0.87996306555863346</v>
      </c>
      <c r="CF93" s="31">
        <v>0.84290843806104132</v>
      </c>
      <c r="CG93" s="31">
        <v>0.88838475499092562</v>
      </c>
      <c r="CH93" s="31">
        <v>0.86500478959293281</v>
      </c>
      <c r="CI93" s="31">
        <v>0.85544373284537967</v>
      </c>
      <c r="CJ93" s="31">
        <v>0.8904109589041096</v>
      </c>
      <c r="CK93" s="31">
        <v>0.84508348794063082</v>
      </c>
      <c r="CL93" s="31">
        <v>0.85296803652968034</v>
      </c>
      <c r="CM93" s="31">
        <v>0.87043795620437958</v>
      </c>
      <c r="CN93" s="31">
        <v>0.87093942054433715</v>
      </c>
      <c r="CO93" s="31">
        <v>0.89953917050691246</v>
      </c>
      <c r="CP93" s="31">
        <v>0.86926039478220418</v>
      </c>
      <c r="CQ93" s="31">
        <v>0.84776663628076576</v>
      </c>
      <c r="CR93" s="31">
        <v>0.86285195277020887</v>
      </c>
      <c r="CS93" s="31">
        <v>0.82761816496756258</v>
      </c>
      <c r="CT93" s="31">
        <v>0.82739726027397265</v>
      </c>
      <c r="CU93" s="31">
        <v>0.87120515179392821</v>
      </c>
      <c r="CV93" s="31">
        <v>0.87295825771324864</v>
      </c>
      <c r="CW93" s="31">
        <v>0.85504587155963307</v>
      </c>
      <c r="CX93" s="31">
        <v>0.85212047076561703</v>
      </c>
      <c r="CY93" s="31">
        <v>0.89522058823529416</v>
      </c>
      <c r="CZ93" s="31">
        <v>0.8713503649635036</v>
      </c>
      <c r="DA93" s="31">
        <v>0.87269372693726932</v>
      </c>
      <c r="DB93" s="31">
        <v>0.87534121929026387</v>
      </c>
      <c r="DC93" s="31">
        <v>0.87800369685767099</v>
      </c>
      <c r="DD93" s="31">
        <v>0.897737556561086</v>
      </c>
      <c r="DE93" s="31">
        <v>0.87008234217749314</v>
      </c>
      <c r="DF93" s="31">
        <v>0.88006135643179728</v>
      </c>
      <c r="DG93" s="31">
        <v>0.87285843101893601</v>
      </c>
      <c r="DH93" s="31">
        <v>0.89757412398921832</v>
      </c>
      <c r="DI93" s="31">
        <v>0.86090909090909096</v>
      </c>
      <c r="DJ93" s="31">
        <v>0.84531392174704278</v>
      </c>
      <c r="DK93" s="31">
        <v>0.86128739800543974</v>
      </c>
      <c r="DL93" s="31">
        <v>0.8999106344950849</v>
      </c>
      <c r="DM93" s="31">
        <v>0.89881494986326349</v>
      </c>
      <c r="DN93" s="31">
        <v>0.87666693571829668</v>
      </c>
      <c r="DO93" s="31">
        <v>0.86003683241252304</v>
      </c>
      <c r="DP93" s="31">
        <v>0.852054794520548</v>
      </c>
      <c r="DQ93" s="31">
        <v>0.85424354243542433</v>
      </c>
      <c r="DR93" s="31">
        <v>0.87625113739763416</v>
      </c>
      <c r="DS93" s="31">
        <v>0.8484018264840183</v>
      </c>
      <c r="DT93" s="31">
        <v>0.87522768670309659</v>
      </c>
      <c r="DU93" s="31">
        <v>0.84705882352941175</v>
      </c>
      <c r="DV93" s="31">
        <v>0.85903923478323663</v>
      </c>
      <c r="DW93" s="31">
        <v>0.83378016085790885</v>
      </c>
      <c r="DX93" s="31">
        <v>0.88314005352363956</v>
      </c>
      <c r="DY93" s="31">
        <v>0.79621280432822361</v>
      </c>
      <c r="DZ93" s="31">
        <v>0.80896860986547081</v>
      </c>
      <c r="EA93" s="31">
        <v>0.84191829484902314</v>
      </c>
      <c r="EB93" s="31">
        <v>0.85964912280701755</v>
      </c>
      <c r="EC93" s="31">
        <v>0.85814977973568285</v>
      </c>
      <c r="ED93" s="31">
        <v>0.84025983228099521</v>
      </c>
      <c r="EE93" s="31">
        <v>0.85208711433756801</v>
      </c>
      <c r="EF93" s="31">
        <v>0.84386281588447654</v>
      </c>
      <c r="EG93" s="31">
        <v>0.8268003646308113</v>
      </c>
      <c r="EH93" s="31">
        <v>0.81193490054249551</v>
      </c>
      <c r="EI93" s="31">
        <v>0.85302073940486922</v>
      </c>
      <c r="EJ93" s="31">
        <v>0.85509838998211096</v>
      </c>
      <c r="EK93" s="31">
        <v>0.87409420289855078</v>
      </c>
      <c r="EL93" s="31">
        <v>0.84527121824012597</v>
      </c>
    </row>
    <row r="94" spans="38:142" x14ac:dyDescent="0.35">
      <c r="AL94" s="19" t="s">
        <v>137</v>
      </c>
      <c r="AM94" s="31">
        <v>0.91549295774647887</v>
      </c>
      <c r="AN94" s="31">
        <v>0.83454987834549876</v>
      </c>
      <c r="AO94" s="31">
        <v>0.87350835322195708</v>
      </c>
      <c r="AP94" s="31">
        <v>0.85918854415274459</v>
      </c>
      <c r="AQ94" s="31">
        <v>0.82640586797066018</v>
      </c>
      <c r="AR94" s="31">
        <v>0.80906921241050123</v>
      </c>
      <c r="AS94" s="31">
        <v>0.8623188405797102</v>
      </c>
      <c r="AT94" s="31">
        <v>0.85436195063250719</v>
      </c>
      <c r="AU94" s="31">
        <v>0.92086330935251803</v>
      </c>
      <c r="AV94" s="31">
        <v>0.81990521327014221</v>
      </c>
      <c r="AW94" s="31">
        <v>0.89786223277909738</v>
      </c>
      <c r="AX94" s="31">
        <v>0.93896713615023475</v>
      </c>
      <c r="AY94" s="31">
        <v>0.9138755980861244</v>
      </c>
      <c r="AZ94" s="31">
        <v>0.85579196217494091</v>
      </c>
      <c r="BA94" s="31">
        <v>0.87822014051522246</v>
      </c>
      <c r="BB94" s="31">
        <v>0.8893550846183258</v>
      </c>
      <c r="BC94" s="31">
        <v>0.87706855791962179</v>
      </c>
      <c r="BD94" s="31">
        <v>0.88647342995169087</v>
      </c>
      <c r="BE94" s="31">
        <v>0.86966824644549767</v>
      </c>
      <c r="BF94" s="31">
        <v>0.82885085574572126</v>
      </c>
      <c r="BG94" s="31">
        <v>0.86729857819905209</v>
      </c>
      <c r="BH94" s="31">
        <v>0.8601398601398601</v>
      </c>
      <c r="BI94" s="31">
        <v>0.89678899082568808</v>
      </c>
      <c r="BJ94" s="31">
        <v>0.86946978846101886</v>
      </c>
      <c r="BK94" s="31">
        <v>0.80243902439024395</v>
      </c>
      <c r="BL94" s="31">
        <v>0.88377723970944311</v>
      </c>
      <c r="BM94" s="31">
        <v>0.78973105134474331</v>
      </c>
      <c r="BN94" s="31">
        <v>0.70558375634517767</v>
      </c>
      <c r="BO94" s="31">
        <v>0.81904761904761902</v>
      </c>
      <c r="BP94" s="31">
        <v>0.80629539951573848</v>
      </c>
      <c r="BQ94" s="31">
        <v>0.80714285714285716</v>
      </c>
      <c r="BR94" s="31">
        <v>0.80200242107083164</v>
      </c>
      <c r="BS94" s="31">
        <v>0.89130434782608692</v>
      </c>
      <c r="BT94" s="31">
        <v>0.72193877551020413</v>
      </c>
      <c r="BU94" s="31">
        <v>0.88279301745635907</v>
      </c>
      <c r="BV94" s="31">
        <v>0.845771144278607</v>
      </c>
      <c r="BW94" s="31">
        <v>0.82577565632458239</v>
      </c>
      <c r="BX94" s="31">
        <v>0.7168831168831169</v>
      </c>
      <c r="BY94" s="31">
        <v>0.77450980392156865</v>
      </c>
      <c r="BZ94" s="31">
        <v>0.80842512317150361</v>
      </c>
      <c r="CA94" s="31">
        <v>0.93120393120393119</v>
      </c>
      <c r="CB94" s="31">
        <v>0.8029197080291971</v>
      </c>
      <c r="CC94" s="31">
        <v>0.9375</v>
      </c>
      <c r="CD94" s="31">
        <v>0.81</v>
      </c>
      <c r="CE94" s="31">
        <v>0.90886075949367084</v>
      </c>
      <c r="CF94" s="31">
        <v>0.81127450980392157</v>
      </c>
      <c r="CG94" s="31">
        <v>0.84523809523809523</v>
      </c>
      <c r="CH94" s="31">
        <v>0.86385671482411652</v>
      </c>
      <c r="CI94" s="31">
        <v>0.94786729857819907</v>
      </c>
      <c r="CJ94" s="31">
        <v>0.84517766497461932</v>
      </c>
      <c r="CK94" s="31">
        <v>0.96852300242130751</v>
      </c>
      <c r="CL94" s="31">
        <v>0.88</v>
      </c>
      <c r="CM94" s="31">
        <v>0.910377358490566</v>
      </c>
      <c r="CN94" s="31">
        <v>0.83902439024390241</v>
      </c>
      <c r="CO94" s="31">
        <v>0.9468599033816425</v>
      </c>
      <c r="CP94" s="31">
        <v>0.90540423115574808</v>
      </c>
      <c r="CQ94" s="31">
        <v>0.89647058823529413</v>
      </c>
      <c r="CR94" s="31">
        <v>0.85948477751756436</v>
      </c>
      <c r="CS94" s="31">
        <v>0.92124105011933177</v>
      </c>
      <c r="CT94" s="31">
        <v>0.81498829039812648</v>
      </c>
      <c r="CU94" s="31">
        <v>0.87914691943127965</v>
      </c>
      <c r="CV94" s="31">
        <v>0.84223300970873782</v>
      </c>
      <c r="CW94" s="31">
        <v>0.91232227488151663</v>
      </c>
      <c r="CX94" s="31">
        <v>0.8751267014702645</v>
      </c>
      <c r="CY94" s="31">
        <v>0.9511002444987775</v>
      </c>
      <c r="CZ94" s="31">
        <v>0.81472684085510694</v>
      </c>
      <c r="DA94" s="31">
        <v>0.89099526066350709</v>
      </c>
      <c r="DB94" s="31">
        <v>0.83453237410071945</v>
      </c>
      <c r="DC94" s="31">
        <v>0.87914691943127965</v>
      </c>
      <c r="DD94" s="31">
        <v>0.96097560975609753</v>
      </c>
      <c r="DE94" s="31">
        <v>0.89613526570048307</v>
      </c>
      <c r="DF94" s="31">
        <v>0.8896589307151388</v>
      </c>
      <c r="DG94" s="31">
        <v>0.91489361702127658</v>
      </c>
      <c r="DH94" s="31">
        <v>0.87142857142857144</v>
      </c>
      <c r="DI94" s="31">
        <v>0.91133004926108374</v>
      </c>
      <c r="DJ94" s="31">
        <v>0.86428571428571432</v>
      </c>
      <c r="DK94" s="31">
        <v>0.9223529411764706</v>
      </c>
      <c r="DL94" s="31">
        <v>0.79118329466357307</v>
      </c>
      <c r="DM94" s="31">
        <v>0.93023255813953487</v>
      </c>
      <c r="DN94" s="31">
        <v>0.88652953513946053</v>
      </c>
      <c r="DO94" s="31">
        <v>0.9</v>
      </c>
      <c r="DP94" s="31">
        <v>0.83132530120481929</v>
      </c>
      <c r="DQ94" s="31">
        <v>0.90024937655860349</v>
      </c>
      <c r="DR94" s="31">
        <v>0.83614457831325306</v>
      </c>
      <c r="DS94" s="31">
        <v>0.9223529411764706</v>
      </c>
      <c r="DT94" s="31">
        <v>0.8623188405797102</v>
      </c>
      <c r="DU94" s="31">
        <v>0.92909535452322733</v>
      </c>
      <c r="DV94" s="31">
        <v>0.88306948462229762</v>
      </c>
      <c r="DW94" s="31">
        <v>0.91529411764705881</v>
      </c>
      <c r="DX94" s="31">
        <v>0.81034482758620685</v>
      </c>
      <c r="DY94" s="31">
        <v>0.9223529411764706</v>
      </c>
      <c r="DZ94" s="31">
        <v>0.87441860465116283</v>
      </c>
      <c r="EA94" s="31">
        <v>0.89269406392694062</v>
      </c>
      <c r="EB94" s="31">
        <v>0.87621359223300976</v>
      </c>
      <c r="EC94" s="31">
        <v>0.92601431980906923</v>
      </c>
      <c r="ED94" s="31">
        <v>0.88819035243284561</v>
      </c>
      <c r="EE94" s="31">
        <v>0.91121495327102808</v>
      </c>
      <c r="EF94" s="31">
        <v>0.87209302325581395</v>
      </c>
      <c r="EG94" s="31">
        <v>0.89573459715639814</v>
      </c>
      <c r="EH94" s="31">
        <v>0.83294117647058818</v>
      </c>
      <c r="EI94" s="31">
        <v>0.94212962962962965</v>
      </c>
      <c r="EJ94" s="31">
        <v>0.90617848970251713</v>
      </c>
      <c r="EK94" s="31">
        <v>0.96028037383177567</v>
      </c>
      <c r="EL94" s="31">
        <v>0.90293889190253573</v>
      </c>
    </row>
    <row r="95" spans="38:142" x14ac:dyDescent="0.35">
      <c r="AL95" s="19" t="s">
        <v>138</v>
      </c>
      <c r="AM95" s="31">
        <v>0.94285714285714284</v>
      </c>
      <c r="AN95" s="31">
        <v>0.93142857142857138</v>
      </c>
      <c r="AO95" s="31">
        <v>0.95428571428571429</v>
      </c>
      <c r="AP95" s="31">
        <v>0.98285714285714287</v>
      </c>
      <c r="AQ95" s="31">
        <v>0.93142857142857138</v>
      </c>
      <c r="AR95" s="31">
        <v>0.93428571428571427</v>
      </c>
      <c r="AS95" s="31">
        <v>0.9285714285714286</v>
      </c>
      <c r="AT95" s="31">
        <v>0.94367346938775509</v>
      </c>
      <c r="AU95" s="31">
        <v>0.91193181818181823</v>
      </c>
      <c r="AV95" s="31">
        <v>0.93502824858757061</v>
      </c>
      <c r="AW95" s="31">
        <v>0.92351274787535409</v>
      </c>
      <c r="AX95" s="31">
        <v>0.96033994334277617</v>
      </c>
      <c r="AY95" s="31">
        <v>0.93181818181818177</v>
      </c>
      <c r="AZ95" s="31">
        <v>0.96600566572237956</v>
      </c>
      <c r="BA95" s="31">
        <v>0.96033994334277617</v>
      </c>
      <c r="BB95" s="31">
        <v>0.94128236412440813</v>
      </c>
      <c r="BC95" s="31">
        <v>0.91501416430594906</v>
      </c>
      <c r="BD95" s="31">
        <v>0.95750708215297453</v>
      </c>
      <c r="BE95" s="31">
        <v>0.89458689458689455</v>
      </c>
      <c r="BF95" s="31">
        <v>0.95128939828080228</v>
      </c>
      <c r="BG95" s="31">
        <v>0.90368271954674217</v>
      </c>
      <c r="BH95" s="31">
        <v>0.91218130311614731</v>
      </c>
      <c r="BI95" s="31">
        <v>0.91218130311614731</v>
      </c>
      <c r="BJ95" s="31">
        <v>0.92092040930080821</v>
      </c>
      <c r="BK95" s="31">
        <v>0.78510028653295127</v>
      </c>
      <c r="BL95" s="31">
        <v>0.96033994334277617</v>
      </c>
      <c r="BM95" s="31">
        <v>0.71954674220963177</v>
      </c>
      <c r="BN95" s="31">
        <v>0.70821529745042489</v>
      </c>
      <c r="BO95" s="31">
        <v>0.86363636363636365</v>
      </c>
      <c r="BP95" s="31">
        <v>0.89801699716713879</v>
      </c>
      <c r="BQ95" s="31">
        <v>0.87252124645892348</v>
      </c>
      <c r="BR95" s="31">
        <v>0.82962526811403003</v>
      </c>
      <c r="BS95" s="31">
        <v>0.90265486725663713</v>
      </c>
      <c r="BT95" s="31">
        <v>0.77620396600566577</v>
      </c>
      <c r="BU95" s="31">
        <v>0.8923512747875354</v>
      </c>
      <c r="BV95" s="31">
        <v>0.9553571428571429</v>
      </c>
      <c r="BW95" s="31">
        <v>0.87905604719764008</v>
      </c>
      <c r="BX95" s="31">
        <v>0.85552407932011332</v>
      </c>
      <c r="BY95" s="31">
        <v>0.93617021276595747</v>
      </c>
      <c r="BZ95" s="31">
        <v>0.88533108431295615</v>
      </c>
      <c r="CA95" s="31">
        <v>0.92067988668555245</v>
      </c>
      <c r="CB95" s="31">
        <v>0.95375722543352603</v>
      </c>
      <c r="CC95" s="31">
        <v>0.90368271954674217</v>
      </c>
      <c r="CD95" s="31">
        <v>0.92351274787535409</v>
      </c>
      <c r="CE95" s="31">
        <v>0.93877551020408168</v>
      </c>
      <c r="CF95" s="31">
        <v>0.93413173652694614</v>
      </c>
      <c r="CG95" s="31">
        <v>0.92941176470588238</v>
      </c>
      <c r="CH95" s="31">
        <v>0.92913594156829782</v>
      </c>
      <c r="CI95" s="31">
        <v>0.88951841359773376</v>
      </c>
      <c r="CJ95" s="31">
        <v>0.93930635838150289</v>
      </c>
      <c r="CK95" s="31">
        <v>0.93768545994065278</v>
      </c>
      <c r="CL95" s="31">
        <v>0.94134897360703818</v>
      </c>
      <c r="CM95" s="31">
        <v>0.93877551020408168</v>
      </c>
      <c r="CN95" s="31">
        <v>0.95348837209302328</v>
      </c>
      <c r="CO95" s="31">
        <v>0.96220930232558144</v>
      </c>
      <c r="CP95" s="31">
        <v>0.93747605573565906</v>
      </c>
      <c r="CQ95" s="31">
        <v>0.92550143266475648</v>
      </c>
      <c r="CR95" s="31">
        <v>0.91086350974930363</v>
      </c>
      <c r="CS95" s="31">
        <v>0.95321637426900585</v>
      </c>
      <c r="CT95" s="31">
        <v>0.9514285714285714</v>
      </c>
      <c r="CU95" s="31">
        <v>0.91812865497076024</v>
      </c>
      <c r="CV95" s="31">
        <v>0.90756302521008403</v>
      </c>
      <c r="CW95" s="31">
        <v>0.91569767441860461</v>
      </c>
      <c r="CX95" s="31">
        <v>0.92605703467301226</v>
      </c>
      <c r="CY95" s="31">
        <v>0.93131868131868134</v>
      </c>
      <c r="CZ95" s="31">
        <v>0.96089385474860334</v>
      </c>
      <c r="DA95" s="31">
        <v>0.94366197183098588</v>
      </c>
      <c r="DB95" s="31">
        <v>0.93575418994413406</v>
      </c>
      <c r="DC95" s="31">
        <v>0.93593314763231195</v>
      </c>
      <c r="DD95" s="31">
        <v>0.93201133144475923</v>
      </c>
      <c r="DE95" s="31">
        <v>0.9353932584269663</v>
      </c>
      <c r="DF95" s="31">
        <v>0.93928091933520608</v>
      </c>
      <c r="DG95" s="31">
        <v>0.9652173913043478</v>
      </c>
      <c r="DH95" s="31">
        <v>0.97175141242937857</v>
      </c>
      <c r="DI95" s="31">
        <v>0.97707736389684818</v>
      </c>
      <c r="DJ95" s="31">
        <v>0.9634831460674157</v>
      </c>
      <c r="DK95" s="31">
        <v>0.96892655367231639</v>
      </c>
      <c r="DL95" s="31">
        <v>0.97486033519553073</v>
      </c>
      <c r="DM95" s="31">
        <v>0.95750708215297453</v>
      </c>
      <c r="DN95" s="31">
        <v>0.96840332638840187</v>
      </c>
      <c r="DO95" s="31">
        <v>0.98554913294797686</v>
      </c>
      <c r="DP95" s="31">
        <v>0.95821727019498604</v>
      </c>
      <c r="DQ95" s="31">
        <v>0.93696275071633239</v>
      </c>
      <c r="DR95" s="31">
        <v>0.93294460641399413</v>
      </c>
      <c r="DS95" s="31">
        <v>0.95467422096317278</v>
      </c>
      <c r="DT95" s="31">
        <v>0.95277777777777772</v>
      </c>
      <c r="DU95" s="31">
        <v>0.9576271186440678</v>
      </c>
      <c r="DV95" s="31">
        <v>0.95410755395118685</v>
      </c>
      <c r="DW95" s="31">
        <v>0.97653958944281527</v>
      </c>
      <c r="DX95" s="31">
        <v>0.94117647058823528</v>
      </c>
      <c r="DY95" s="31">
        <v>0.94252873563218387</v>
      </c>
      <c r="DZ95" s="31">
        <v>0.93678160919540232</v>
      </c>
      <c r="EA95" s="31">
        <v>0.94202898550724634</v>
      </c>
      <c r="EB95" s="31">
        <v>0.94311377245508987</v>
      </c>
      <c r="EC95" s="31">
        <v>0.903954802259887</v>
      </c>
      <c r="ED95" s="31">
        <v>0.94087485215440847</v>
      </c>
      <c r="EE95" s="31">
        <v>0.94285714285714284</v>
      </c>
      <c r="EF95" s="31">
        <v>0.96848137535816614</v>
      </c>
      <c r="EG95" s="31">
        <v>0.92372881355932202</v>
      </c>
      <c r="EH95" s="31">
        <v>0.96078431372549022</v>
      </c>
      <c r="EI95" s="31">
        <v>0.97443181818181823</v>
      </c>
      <c r="EJ95" s="31">
        <v>0.9943661971830986</v>
      </c>
      <c r="EK95" s="31">
        <v>0.96918767507002801</v>
      </c>
      <c r="EL95" s="31">
        <v>0.96197676227643814</v>
      </c>
    </row>
    <row r="96" spans="38:142" x14ac:dyDescent="0.35">
      <c r="AL96" s="19" t="s">
        <v>139</v>
      </c>
      <c r="AM96" s="31">
        <v>0.97169811320754718</v>
      </c>
      <c r="AN96" s="31">
        <v>0.95221445221445222</v>
      </c>
      <c r="AO96" s="31">
        <v>0.95346062052505964</v>
      </c>
      <c r="AP96" s="31">
        <v>0.94868735083532219</v>
      </c>
      <c r="AQ96" s="31">
        <v>0.97538100820633056</v>
      </c>
      <c r="AR96" s="31">
        <v>0.97337962962962965</v>
      </c>
      <c r="AS96" s="31">
        <v>0.97538100820633056</v>
      </c>
      <c r="AT96" s="31">
        <v>0.96431459754638171</v>
      </c>
      <c r="AU96" s="31">
        <v>0.95476190476190481</v>
      </c>
      <c r="AV96" s="31">
        <v>0.96789536266349585</v>
      </c>
      <c r="AW96" s="31">
        <v>0.94152744630071594</v>
      </c>
      <c r="AX96" s="31">
        <v>0.94813027744270206</v>
      </c>
      <c r="AY96" s="31">
        <v>0.96221959858323491</v>
      </c>
      <c r="AZ96" s="31">
        <v>0.96797153024911031</v>
      </c>
      <c r="BA96" s="31">
        <v>0.97300469483568075</v>
      </c>
      <c r="BB96" s="31">
        <v>0.95935868783383504</v>
      </c>
      <c r="BC96" s="31">
        <v>0.95081967213114749</v>
      </c>
      <c r="BD96" s="31">
        <v>0.96743063932448736</v>
      </c>
      <c r="BE96" s="31">
        <v>0.92677070828331332</v>
      </c>
      <c r="BF96" s="31">
        <v>0.9205378973105135</v>
      </c>
      <c r="BG96" s="31">
        <v>0.95877502944640758</v>
      </c>
      <c r="BH96" s="31">
        <v>0.95759717314487636</v>
      </c>
      <c r="BI96" s="31">
        <v>0.96361502347417838</v>
      </c>
      <c r="BJ96" s="31">
        <v>0.94936373473070346</v>
      </c>
      <c r="BK96" s="31">
        <v>0.92045454545454541</v>
      </c>
      <c r="BL96" s="31">
        <v>0.94692400482509043</v>
      </c>
      <c r="BM96" s="31">
        <v>0.84250960307298339</v>
      </c>
      <c r="BN96" s="31">
        <v>0.92337662337662341</v>
      </c>
      <c r="BO96" s="31">
        <v>0.92278481012658231</v>
      </c>
      <c r="BP96" s="31">
        <v>0.93162393162393164</v>
      </c>
      <c r="BQ96" s="31">
        <v>0.91606714628297359</v>
      </c>
      <c r="BR96" s="31">
        <v>0.91482009496610417</v>
      </c>
      <c r="BS96" s="31">
        <v>0.9603469640644362</v>
      </c>
      <c r="BT96" s="31">
        <v>0.92297650130548303</v>
      </c>
      <c r="BU96" s="31">
        <v>0.94213836477987423</v>
      </c>
      <c r="BV96" s="31">
        <v>0.96245306633291616</v>
      </c>
      <c r="BW96" s="31">
        <v>0.9623329283110571</v>
      </c>
      <c r="BX96" s="31">
        <v>0.93198992443324935</v>
      </c>
      <c r="BY96" s="31">
        <v>0.89798488664987408</v>
      </c>
      <c r="BZ96" s="31">
        <v>0.94003180512526996</v>
      </c>
      <c r="CA96" s="31">
        <v>0.97177914110429453</v>
      </c>
      <c r="CB96" s="31">
        <v>0.9642857142857143</v>
      </c>
      <c r="CC96" s="31">
        <v>0.94160583941605835</v>
      </c>
      <c r="CD96" s="31">
        <v>0.95721271393643037</v>
      </c>
      <c r="CE96" s="31">
        <v>0.97177914110429453</v>
      </c>
      <c r="CF96" s="31">
        <v>0.99412455934195065</v>
      </c>
      <c r="CG96" s="31">
        <v>0.99154589371980673</v>
      </c>
      <c r="CH96" s="31">
        <v>0.97033328612979275</v>
      </c>
      <c r="CI96" s="31">
        <v>0.9725864123957092</v>
      </c>
      <c r="CJ96" s="31">
        <v>0.94987775061124691</v>
      </c>
      <c r="CK96" s="31">
        <v>0.96014492753623193</v>
      </c>
      <c r="CL96" s="31">
        <v>0.97212121212121216</v>
      </c>
      <c r="CM96" s="31">
        <v>0.9821428571428571</v>
      </c>
      <c r="CN96" s="31">
        <v>0.96860465116279071</v>
      </c>
      <c r="CO96" s="31">
        <v>0.9729411764705882</v>
      </c>
      <c r="CP96" s="31">
        <v>0.96834556963437657</v>
      </c>
      <c r="CQ96" s="31">
        <v>0.94201183431952662</v>
      </c>
      <c r="CR96" s="31">
        <v>0.98060606060606059</v>
      </c>
      <c r="CS96" s="31">
        <v>0.94917257683215128</v>
      </c>
      <c r="CT96" s="31">
        <v>0.95838287752675388</v>
      </c>
      <c r="CU96" s="31">
        <v>0.96018735362997654</v>
      </c>
      <c r="CV96" s="31">
        <v>0.96736596736596736</v>
      </c>
      <c r="CW96" s="31">
        <v>0.96037296037296038</v>
      </c>
      <c r="CX96" s="31">
        <v>0.95972851866477094</v>
      </c>
      <c r="CY96" s="31">
        <v>0.96608187134502921</v>
      </c>
      <c r="CZ96" s="31">
        <v>0.98810939357907257</v>
      </c>
      <c r="DA96" s="31">
        <v>0.94736842105263153</v>
      </c>
      <c r="DB96" s="31">
        <v>0.95857988165680474</v>
      </c>
      <c r="DC96" s="31">
        <v>0.96135831381733017</v>
      </c>
      <c r="DD96" s="31">
        <v>0.97103128621089219</v>
      </c>
      <c r="DE96" s="31">
        <v>0.97328687572590011</v>
      </c>
      <c r="DF96" s="31">
        <v>0.96654514905538014</v>
      </c>
      <c r="DG96" s="31">
        <v>0.9509345794392523</v>
      </c>
      <c r="DH96" s="31">
        <v>0.96812278630460447</v>
      </c>
      <c r="DI96" s="31">
        <v>0.94543297746144717</v>
      </c>
      <c r="DJ96" s="31">
        <v>0.93428912783751494</v>
      </c>
      <c r="DK96" s="31">
        <v>0.97119815668202769</v>
      </c>
      <c r="DL96" s="31">
        <v>0.98108747044917255</v>
      </c>
      <c r="DM96" s="31">
        <v>0.99176470588235299</v>
      </c>
      <c r="DN96" s="31">
        <v>0.96326140057948173</v>
      </c>
      <c r="DO96" s="31">
        <v>0.97644287396937579</v>
      </c>
      <c r="DP96" s="31">
        <v>0.94265232974910396</v>
      </c>
      <c r="DQ96" s="31">
        <v>0.9667458432304038</v>
      </c>
      <c r="DR96" s="31">
        <v>0.96199524940617576</v>
      </c>
      <c r="DS96" s="31">
        <v>0.98388952819332565</v>
      </c>
      <c r="DT96" s="31">
        <v>0.95901639344262291</v>
      </c>
      <c r="DU96" s="31">
        <v>0.98942420681551113</v>
      </c>
      <c r="DV96" s="31">
        <v>0.96859520354378847</v>
      </c>
      <c r="DW96" s="31">
        <v>0.95422535211267601</v>
      </c>
      <c r="DX96" s="31">
        <v>0.97309941520467835</v>
      </c>
      <c r="DY96" s="31">
        <v>0.93301997649823731</v>
      </c>
      <c r="DZ96" s="31">
        <v>0.92723004694835676</v>
      </c>
      <c r="EA96" s="31">
        <v>0.95759717314487636</v>
      </c>
      <c r="EB96" s="31">
        <v>0.96230859835100113</v>
      </c>
      <c r="EC96" s="31">
        <v>0.94761350407450529</v>
      </c>
      <c r="ED96" s="31">
        <v>0.95072772376204728</v>
      </c>
      <c r="EE96" s="31">
        <v>0.9577960140679953</v>
      </c>
      <c r="EF96" s="31">
        <v>0.96478873239436624</v>
      </c>
      <c r="EG96" s="31">
        <v>0.95395513577331759</v>
      </c>
      <c r="EH96" s="31">
        <v>0.9624853458382181</v>
      </c>
      <c r="EI96" s="31">
        <v>0.97990543735224589</v>
      </c>
      <c r="EJ96" s="31">
        <v>0.98941176470588232</v>
      </c>
      <c r="EK96" s="31">
        <v>0.98243559718969553</v>
      </c>
      <c r="EL96" s="31">
        <v>0.9701111467602459</v>
      </c>
    </row>
    <row r="97" spans="38:142" x14ac:dyDescent="0.35">
      <c r="AL97" s="19" t="s">
        <v>140</v>
      </c>
      <c r="AM97" s="31">
        <v>0.97400820793433651</v>
      </c>
      <c r="AN97" s="31">
        <v>0.9519890260631001</v>
      </c>
      <c r="AO97" s="31">
        <v>0.96901408450704229</v>
      </c>
      <c r="AP97" s="31">
        <v>0.94936708860759489</v>
      </c>
      <c r="AQ97" s="31">
        <v>0.98478561549100974</v>
      </c>
      <c r="AR97" s="31">
        <v>0.96260387811634351</v>
      </c>
      <c r="AS97" s="31">
        <v>0.97749648382559773</v>
      </c>
      <c r="AT97" s="31">
        <v>0.96703776922071782</v>
      </c>
      <c r="AU97" s="31">
        <v>0.97014925373134331</v>
      </c>
      <c r="AV97" s="31">
        <v>0.97609001406469764</v>
      </c>
      <c r="AW97" s="31">
        <v>0.96065128900949792</v>
      </c>
      <c r="AX97" s="31">
        <v>0.97350069735006972</v>
      </c>
      <c r="AY97" s="31">
        <v>0.98365122615803813</v>
      </c>
      <c r="AZ97" s="31">
        <v>0.98618784530386738</v>
      </c>
      <c r="BA97" s="31">
        <v>0.98898071625344353</v>
      </c>
      <c r="BB97" s="31">
        <v>0.9770301488387082</v>
      </c>
      <c r="BC97" s="31">
        <v>0.96657754010695185</v>
      </c>
      <c r="BD97" s="31">
        <v>0.98092643051771122</v>
      </c>
      <c r="BE97" s="31">
        <v>0.96438356164383565</v>
      </c>
      <c r="BF97" s="31">
        <v>0.96725784447476126</v>
      </c>
      <c r="BG97" s="31">
        <v>0.97852348993288596</v>
      </c>
      <c r="BH97" s="31">
        <v>0.98255033557046978</v>
      </c>
      <c r="BI97" s="31">
        <v>0.98613037447988905</v>
      </c>
      <c r="BJ97" s="31">
        <v>0.97519279667521508</v>
      </c>
      <c r="BK97" s="31">
        <v>0.95892351274787535</v>
      </c>
      <c r="BL97" s="31">
        <v>0.987688098495212</v>
      </c>
      <c r="BM97" s="31">
        <v>0.87164179104477613</v>
      </c>
      <c r="BN97" s="31">
        <v>0.87368421052631584</v>
      </c>
      <c r="BO97" s="31">
        <v>0.96403872752420472</v>
      </c>
      <c r="BP97" s="31">
        <v>0.97386519944979366</v>
      </c>
      <c r="BQ97" s="31">
        <v>0.97177419354838712</v>
      </c>
      <c r="BR97" s="31">
        <v>0.94308796190522348</v>
      </c>
      <c r="BS97" s="31">
        <v>0.94383561643835612</v>
      </c>
      <c r="BT97" s="31">
        <v>0.91495601173020524</v>
      </c>
      <c r="BU97" s="31">
        <v>0.93137254901960786</v>
      </c>
      <c r="BV97" s="31">
        <v>0.94706723891273248</v>
      </c>
      <c r="BW97" s="31">
        <v>0.95639943741209565</v>
      </c>
      <c r="BX97" s="31">
        <v>0.93475177304964541</v>
      </c>
      <c r="BY97" s="31">
        <v>0.93122420907840442</v>
      </c>
      <c r="BZ97" s="31">
        <v>0.93708669080586393</v>
      </c>
      <c r="CA97" s="31">
        <v>0.95095367847411449</v>
      </c>
      <c r="CB97" s="31">
        <v>0.98265895953757221</v>
      </c>
      <c r="CC97" s="31">
        <v>0.93296853625170995</v>
      </c>
      <c r="CD97" s="31">
        <v>0.94938440492476062</v>
      </c>
      <c r="CE97" s="31">
        <v>0.96185286103542234</v>
      </c>
      <c r="CF97" s="31">
        <v>0.99862258953168048</v>
      </c>
      <c r="CG97" s="31">
        <v>0.98734177215189878</v>
      </c>
      <c r="CH97" s="31">
        <v>0.96625468598673692</v>
      </c>
      <c r="CI97" s="31">
        <v>0.9479606188466948</v>
      </c>
      <c r="CJ97" s="31">
        <v>0.9601100412654745</v>
      </c>
      <c r="CK97" s="31">
        <v>0.94174757281553401</v>
      </c>
      <c r="CL97" s="31">
        <v>0.94635488308115545</v>
      </c>
      <c r="CM97" s="31">
        <v>0.95511921458625526</v>
      </c>
      <c r="CN97" s="31">
        <v>0.95776566757493187</v>
      </c>
      <c r="CO97" s="31">
        <v>0.97095435684647302</v>
      </c>
      <c r="CP97" s="31">
        <v>0.95428747928807411</v>
      </c>
      <c r="CQ97" s="31">
        <v>0.97544338335607095</v>
      </c>
      <c r="CR97" s="31">
        <v>0.94736842105263153</v>
      </c>
      <c r="CS97" s="31">
        <v>0.97829036635006783</v>
      </c>
      <c r="CT97" s="31">
        <v>0.96341463414634143</v>
      </c>
      <c r="CU97" s="31">
        <v>0.96849315068493147</v>
      </c>
      <c r="CV97" s="31">
        <v>0.97361111111111109</v>
      </c>
      <c r="CW97" s="31">
        <v>0.95896032831737343</v>
      </c>
      <c r="CX97" s="31">
        <v>0.96651162785978961</v>
      </c>
      <c r="CY97" s="31">
        <v>0.97805212620027437</v>
      </c>
      <c r="CZ97" s="31">
        <v>0.98917456021650885</v>
      </c>
      <c r="DA97" s="31">
        <v>0.9511173184357542</v>
      </c>
      <c r="DB97" s="31">
        <v>0.97557666214382632</v>
      </c>
      <c r="DC97" s="31">
        <v>0.98493150684931507</v>
      </c>
      <c r="DD97" s="31">
        <v>0.96703296703296704</v>
      </c>
      <c r="DE97" s="31">
        <v>0.95850622406639008</v>
      </c>
      <c r="DF97" s="31">
        <v>0.97205590927786223</v>
      </c>
      <c r="DG97" s="31">
        <v>0.96153846153846156</v>
      </c>
      <c r="DH97" s="31">
        <v>0.97831978319783197</v>
      </c>
      <c r="DI97" s="31">
        <v>0.94910591471801931</v>
      </c>
      <c r="DJ97" s="31">
        <v>0.97237569060773477</v>
      </c>
      <c r="DK97" s="31">
        <v>0.97814207650273222</v>
      </c>
      <c r="DL97" s="31">
        <v>0.98219178082191783</v>
      </c>
      <c r="DM97" s="31">
        <v>0.9756756756756757</v>
      </c>
      <c r="DN97" s="31">
        <v>0.97104991186605327</v>
      </c>
      <c r="DO97" s="31">
        <v>0.97418478260869568</v>
      </c>
      <c r="DP97" s="31">
        <v>0.97793103448275864</v>
      </c>
      <c r="DQ97" s="31">
        <v>0.98082191780821915</v>
      </c>
      <c r="DR97" s="31">
        <v>0.96765498652291104</v>
      </c>
      <c r="DS97" s="31">
        <v>0.98770491803278693</v>
      </c>
      <c r="DT97" s="31">
        <v>0.97820163487738421</v>
      </c>
      <c r="DU97" s="31">
        <v>0.978494623655914</v>
      </c>
      <c r="DV97" s="31">
        <v>0.97785627114123841</v>
      </c>
      <c r="DW97" s="31">
        <v>0.9674355495251018</v>
      </c>
      <c r="DX97" s="31">
        <v>0.99460188933873139</v>
      </c>
      <c r="DY97" s="31">
        <v>0.9630642954856361</v>
      </c>
      <c r="DZ97" s="31">
        <v>0.95380434782608692</v>
      </c>
      <c r="EA97" s="31">
        <v>0.96195652173913049</v>
      </c>
      <c r="EB97" s="31">
        <v>0.9782312925170068</v>
      </c>
      <c r="EC97" s="31">
        <v>0.97418478260869568</v>
      </c>
      <c r="ED97" s="31">
        <v>0.97046838272005564</v>
      </c>
      <c r="EE97" s="31">
        <v>0.97517241379310349</v>
      </c>
      <c r="EF97" s="31">
        <v>0.97150610583446406</v>
      </c>
      <c r="EG97" s="31">
        <v>0.97146739130434778</v>
      </c>
      <c r="EH97" s="31">
        <v>0.9726027397260274</v>
      </c>
      <c r="EI97" s="31">
        <v>0.98209366391184572</v>
      </c>
      <c r="EJ97" s="31">
        <v>0.97382920110192839</v>
      </c>
      <c r="EK97" s="31">
        <v>0.98353909465020573</v>
      </c>
      <c r="EL97" s="31">
        <v>0.97574437290313176</v>
      </c>
    </row>
    <row r="98" spans="38:142" x14ac:dyDescent="0.35">
      <c r="AL98" s="19" t="s">
        <v>141</v>
      </c>
      <c r="AM98" s="31">
        <v>0.94754098360655736</v>
      </c>
      <c r="AN98" s="31">
        <v>0.93791946308724827</v>
      </c>
      <c r="AO98" s="31">
        <v>0.95</v>
      </c>
      <c r="AP98" s="31">
        <v>0.97631133671742809</v>
      </c>
      <c r="AQ98" s="31">
        <v>0.93979933110367897</v>
      </c>
      <c r="AR98" s="31">
        <v>0.93322203672787984</v>
      </c>
      <c r="AS98" s="31">
        <v>0.93812709030100339</v>
      </c>
      <c r="AT98" s="31">
        <v>0.94613146307768514</v>
      </c>
      <c r="AU98" s="31">
        <v>0.93687707641196016</v>
      </c>
      <c r="AV98" s="31">
        <v>0.97039473684210531</v>
      </c>
      <c r="AW98" s="31">
        <v>0.91680532445923457</v>
      </c>
      <c r="AX98" s="31">
        <v>0.94509151414309489</v>
      </c>
      <c r="AY98" s="31">
        <v>0.95016611295681064</v>
      </c>
      <c r="AZ98" s="31">
        <v>0.95908346972176761</v>
      </c>
      <c r="BA98" s="31">
        <v>0.96345514950166111</v>
      </c>
      <c r="BB98" s="31">
        <v>0.94883905486237641</v>
      </c>
      <c r="BC98" s="31">
        <v>0.93831168831168832</v>
      </c>
      <c r="BD98" s="31">
        <v>0.99008264462809914</v>
      </c>
      <c r="BE98" s="31">
        <v>0.88798701298701299</v>
      </c>
      <c r="BF98" s="31">
        <v>0.91433278418451402</v>
      </c>
      <c r="BG98" s="31">
        <v>0.9515347334410339</v>
      </c>
      <c r="BH98" s="31">
        <v>0.98512396694214877</v>
      </c>
      <c r="BI98" s="31">
        <v>0.95520000000000005</v>
      </c>
      <c r="BJ98" s="31">
        <v>0.94608183292778547</v>
      </c>
      <c r="BK98" s="31">
        <v>0.81463414634146336</v>
      </c>
      <c r="BL98" s="31">
        <v>0.95716639209225696</v>
      </c>
      <c r="BM98" s="31">
        <v>0.71056910569105691</v>
      </c>
      <c r="BN98" s="31">
        <v>0.76936026936026936</v>
      </c>
      <c r="BO98" s="31">
        <v>0.86451612903225805</v>
      </c>
      <c r="BP98" s="31">
        <v>0.9553719008264463</v>
      </c>
      <c r="BQ98" s="31">
        <v>0.93046357615894038</v>
      </c>
      <c r="BR98" s="31">
        <v>0.85744021707181317</v>
      </c>
      <c r="BS98" s="31">
        <v>0.91085899513776336</v>
      </c>
      <c r="BT98" s="31">
        <v>0.80066445182724255</v>
      </c>
      <c r="BU98" s="31">
        <v>0.85350318471337583</v>
      </c>
      <c r="BV98" s="31">
        <v>0.88083735909822869</v>
      </c>
      <c r="BW98" s="31">
        <v>0.89144736842105265</v>
      </c>
      <c r="BX98" s="31">
        <v>0.84514003294892914</v>
      </c>
      <c r="BY98" s="31">
        <v>0.90280065897858319</v>
      </c>
      <c r="BZ98" s="31">
        <v>0.86932172158931087</v>
      </c>
      <c r="CA98" s="31">
        <v>0.95491143317230276</v>
      </c>
      <c r="CB98" s="31">
        <v>0.92741935483870963</v>
      </c>
      <c r="CC98" s="31">
        <v>0.9229534510433387</v>
      </c>
      <c r="CD98" s="31">
        <v>0.94533762057877813</v>
      </c>
      <c r="CE98" s="31">
        <v>0.93312101910828027</v>
      </c>
      <c r="CF98" s="31">
        <v>0.96440129449838186</v>
      </c>
      <c r="CG98" s="31">
        <v>0.96097560975609753</v>
      </c>
      <c r="CH98" s="31">
        <v>0.94415996899941257</v>
      </c>
      <c r="CI98" s="31">
        <v>0.9138755980861244</v>
      </c>
      <c r="CJ98" s="31">
        <v>0.96758508914100483</v>
      </c>
      <c r="CK98" s="31">
        <v>0.9095315024232633</v>
      </c>
      <c r="CL98" s="31">
        <v>0.92527821939586641</v>
      </c>
      <c r="CM98" s="31">
        <v>0.96254071661237783</v>
      </c>
      <c r="CN98" s="31">
        <v>0.975767366720517</v>
      </c>
      <c r="CO98" s="31">
        <v>0.97389885807504073</v>
      </c>
      <c r="CP98" s="31">
        <v>0.94692533577917071</v>
      </c>
      <c r="CQ98" s="31">
        <v>0.96825396825396826</v>
      </c>
      <c r="CR98" s="31">
        <v>0.9347133757961783</v>
      </c>
      <c r="CS98" s="31">
        <v>0.9281150159744409</v>
      </c>
      <c r="CT98" s="31">
        <v>0.93290734824281152</v>
      </c>
      <c r="CU98" s="31">
        <v>0.98415213946117275</v>
      </c>
      <c r="CV98" s="31">
        <v>0.96656050955414008</v>
      </c>
      <c r="CW98" s="31">
        <v>0.97741935483870968</v>
      </c>
      <c r="CX98" s="31">
        <v>0.95601738744591724</v>
      </c>
      <c r="CY98" s="31">
        <v>0.99172185430463577</v>
      </c>
      <c r="CZ98" s="31">
        <v>0.95073891625615758</v>
      </c>
      <c r="DA98" s="31">
        <v>0.95737704918032784</v>
      </c>
      <c r="DB98" s="31">
        <v>0.96900489396411094</v>
      </c>
      <c r="DC98" s="31">
        <v>0.9673202614379085</v>
      </c>
      <c r="DD98" s="31">
        <v>0.95322580645161292</v>
      </c>
      <c r="DE98" s="31">
        <v>0.96517412935323388</v>
      </c>
      <c r="DF98" s="31">
        <v>0.96493755870685527</v>
      </c>
      <c r="DG98" s="31">
        <v>0.94308943089430897</v>
      </c>
      <c r="DH98" s="31">
        <v>0.95734597156398105</v>
      </c>
      <c r="DI98" s="31">
        <v>0.95772357723577239</v>
      </c>
      <c r="DJ98" s="31">
        <v>0.97014925373134331</v>
      </c>
      <c r="DK98" s="31">
        <v>0.96360759493670889</v>
      </c>
      <c r="DL98" s="31">
        <v>0.97124600638977632</v>
      </c>
      <c r="DM98" s="31">
        <v>0.97427652733118975</v>
      </c>
      <c r="DN98" s="31">
        <v>0.96249119458329735</v>
      </c>
      <c r="DO98" s="31">
        <v>0.9470404984423676</v>
      </c>
      <c r="DP98" s="31">
        <v>0.94236760124610597</v>
      </c>
      <c r="DQ98" s="31">
        <v>0.93023255813953487</v>
      </c>
      <c r="DR98" s="31">
        <v>0.93769470404984423</v>
      </c>
      <c r="DS98" s="31">
        <v>0.94392523364485981</v>
      </c>
      <c r="DT98" s="31">
        <v>0.95658914728682165</v>
      </c>
      <c r="DU98" s="31">
        <v>0.9397217928902627</v>
      </c>
      <c r="DV98" s="31">
        <v>0.94251021938568535</v>
      </c>
      <c r="DW98" s="31">
        <v>0.95482866043613712</v>
      </c>
      <c r="DX98" s="31">
        <v>0.9719626168224299</v>
      </c>
      <c r="DY98" s="31">
        <v>0.93769470404984423</v>
      </c>
      <c r="DZ98" s="31">
        <v>0.93925233644859818</v>
      </c>
      <c r="EA98" s="31">
        <v>0.96594427244582048</v>
      </c>
      <c r="EB98" s="31">
        <v>0.97507788161993769</v>
      </c>
      <c r="EC98" s="31">
        <v>0.94891640866873062</v>
      </c>
      <c r="ED98" s="31">
        <v>0.95623955435592833</v>
      </c>
      <c r="EE98" s="31">
        <v>0.96551724137931039</v>
      </c>
      <c r="EF98" s="31">
        <v>0.97191887675507016</v>
      </c>
      <c r="EG98" s="31">
        <v>0.93228346456692912</v>
      </c>
      <c r="EH98" s="31">
        <v>0.94392523364485981</v>
      </c>
      <c r="EI98" s="31">
        <v>0.97035881435257409</v>
      </c>
      <c r="EJ98" s="31">
        <v>0.98444790046656294</v>
      </c>
      <c r="EK98" s="31">
        <v>0.99844720496894412</v>
      </c>
      <c r="EL98" s="31">
        <v>0.96669981944775007</v>
      </c>
    </row>
    <row r="99" spans="38:142" x14ac:dyDescent="0.35">
      <c r="AL99" s="19" t="s">
        <v>142</v>
      </c>
      <c r="AM99" s="31">
        <v>0.96837349397590367</v>
      </c>
      <c r="AN99" s="31">
        <v>0.99554234769687966</v>
      </c>
      <c r="AO99" s="31">
        <v>0.93721286370597245</v>
      </c>
      <c r="AP99" s="31">
        <v>0.95833333333333337</v>
      </c>
      <c r="AQ99" s="31">
        <v>0.99393019726858878</v>
      </c>
      <c r="AR99" s="31">
        <v>0.98956780923994037</v>
      </c>
      <c r="AS99" s="31">
        <v>0.98956780923994037</v>
      </c>
      <c r="AT99" s="31">
        <v>0.97607540778007973</v>
      </c>
      <c r="AU99" s="31">
        <v>0.98320610687022902</v>
      </c>
      <c r="AV99" s="31">
        <v>0.9785932721712538</v>
      </c>
      <c r="AW99" s="31">
        <v>0.96793893129770991</v>
      </c>
      <c r="AX99" s="31">
        <v>0.98611111111111116</v>
      </c>
      <c r="AY99" s="31">
        <v>0.98500749625187412</v>
      </c>
      <c r="AZ99" s="31">
        <v>0.98773006134969321</v>
      </c>
      <c r="BA99" s="31">
        <v>0.98500749625187412</v>
      </c>
      <c r="BB99" s="31">
        <v>0.98194206790053495</v>
      </c>
      <c r="BC99" s="31">
        <v>0.97891566265060237</v>
      </c>
      <c r="BD99" s="31">
        <v>0.98345864661654137</v>
      </c>
      <c r="BE99" s="31">
        <v>0.96493902439024393</v>
      </c>
      <c r="BF99" s="31">
        <v>0.97557251908396947</v>
      </c>
      <c r="BG99" s="31">
        <v>0.98348348348348347</v>
      </c>
      <c r="BH99" s="31">
        <v>0.98033282904689867</v>
      </c>
      <c r="BI99" s="31">
        <v>0.98798798798798804</v>
      </c>
      <c r="BJ99" s="31">
        <v>0.97924145046567534</v>
      </c>
      <c r="BK99" s="31">
        <v>0.92964824120603018</v>
      </c>
      <c r="BL99" s="31">
        <v>0.98312883435582821</v>
      </c>
      <c r="BM99" s="31">
        <v>0.88356164383561642</v>
      </c>
      <c r="BN99" s="31">
        <v>0.90987868284228768</v>
      </c>
      <c r="BO99" s="31">
        <v>0.91679999999999995</v>
      </c>
      <c r="BP99" s="31">
        <v>0.9750390015600624</v>
      </c>
      <c r="BQ99" s="31">
        <v>0.94427244582043346</v>
      </c>
      <c r="BR99" s="31">
        <v>0.93461840708860844</v>
      </c>
      <c r="BS99" s="31">
        <v>0.97031250000000002</v>
      </c>
      <c r="BT99" s="31">
        <v>0.9441624365482234</v>
      </c>
      <c r="BU99" s="31">
        <v>0.96511627906976749</v>
      </c>
      <c r="BV99" s="31">
        <v>0.96546052631578949</v>
      </c>
      <c r="BW99" s="31">
        <v>0.97645211930926212</v>
      </c>
      <c r="BX99" s="31">
        <v>0.96672212978369387</v>
      </c>
      <c r="BY99" s="31">
        <v>0.98709677419354835</v>
      </c>
      <c r="BZ99" s="31">
        <v>0.96790325217432638</v>
      </c>
      <c r="CA99" s="31">
        <v>0.98312883435582821</v>
      </c>
      <c r="CB99" s="31">
        <v>0.97435897435897434</v>
      </c>
      <c r="CC99" s="31">
        <v>0.97678018575851389</v>
      </c>
      <c r="CD99" s="31">
        <v>0.97984496124031006</v>
      </c>
      <c r="CE99" s="31">
        <v>0.98170731707317072</v>
      </c>
      <c r="CF99" s="31">
        <v>0.98273155416012559</v>
      </c>
      <c r="CG99" s="31">
        <v>0.97081413210445466</v>
      </c>
      <c r="CH99" s="31">
        <v>0.97848085129305395</v>
      </c>
      <c r="CI99" s="31">
        <v>0.97815912636505464</v>
      </c>
      <c r="CJ99" s="31">
        <v>0.97815912636505464</v>
      </c>
      <c r="CK99" s="31">
        <v>0.98281249999999998</v>
      </c>
      <c r="CL99" s="31">
        <v>0.98463901689708144</v>
      </c>
      <c r="CM99" s="31">
        <v>0.98264984227129337</v>
      </c>
      <c r="CN99" s="31">
        <v>0.98582677165354327</v>
      </c>
      <c r="CO99" s="31">
        <v>0.97017268445839877</v>
      </c>
      <c r="CP99" s="31">
        <v>0.98034558114434667</v>
      </c>
      <c r="CQ99" s="31">
        <v>0.96610169491525422</v>
      </c>
      <c r="CR99" s="31">
        <v>0.99082568807339455</v>
      </c>
      <c r="CS99" s="31">
        <v>0.97072419106317409</v>
      </c>
      <c r="CT99" s="31">
        <v>0.97579425113464446</v>
      </c>
      <c r="CU99" s="31">
        <v>0.99215070643642067</v>
      </c>
      <c r="CV99" s="31">
        <v>0.98778625954198473</v>
      </c>
      <c r="CW99" s="31">
        <v>0.98767334360554704</v>
      </c>
      <c r="CX99" s="31">
        <v>0.98157944782434559</v>
      </c>
      <c r="CY99" s="31">
        <v>0.97384615384615381</v>
      </c>
      <c r="CZ99" s="31">
        <v>0.98355754857997013</v>
      </c>
      <c r="DA99" s="31">
        <v>0.98286604361370722</v>
      </c>
      <c r="DB99" s="31">
        <v>0.98452012383900933</v>
      </c>
      <c r="DC99" s="31">
        <v>0.98634294385432475</v>
      </c>
      <c r="DD99" s="31">
        <v>1</v>
      </c>
      <c r="DE99" s="31">
        <v>0.99235474006116209</v>
      </c>
      <c r="DF99" s="31">
        <v>0.98621250768490398</v>
      </c>
      <c r="DG99" s="31">
        <v>0.98757763975155277</v>
      </c>
      <c r="DH99" s="31">
        <v>0.98947368421052628</v>
      </c>
      <c r="DI99" s="31">
        <v>0.98251192368839424</v>
      </c>
      <c r="DJ99" s="31">
        <v>0.96754250386398766</v>
      </c>
      <c r="DK99" s="31">
        <v>0.98642533936651589</v>
      </c>
      <c r="DL99" s="31">
        <v>0.9863842662632375</v>
      </c>
      <c r="DM99" s="31">
        <v>0.99251497005988021</v>
      </c>
      <c r="DN99" s="31">
        <v>0.9846329038862992</v>
      </c>
      <c r="DO99" s="31">
        <v>0.97706422018348627</v>
      </c>
      <c r="DP99" s="31">
        <v>0.9785276073619632</v>
      </c>
      <c r="DQ99" s="31">
        <v>0.96793893129770991</v>
      </c>
      <c r="DR99" s="31">
        <v>0.95288753799392101</v>
      </c>
      <c r="DS99" s="31">
        <v>0.97112462006079026</v>
      </c>
      <c r="DT99" s="31">
        <v>0.97706422018348627</v>
      </c>
      <c r="DU99" s="31">
        <v>0.97709923664122134</v>
      </c>
      <c r="DV99" s="31">
        <v>0.97167233910322537</v>
      </c>
      <c r="DW99" s="31">
        <v>0.97103658536585369</v>
      </c>
      <c r="DX99" s="31">
        <v>0.97094801223241589</v>
      </c>
      <c r="DY99" s="31">
        <v>0.98006134969325154</v>
      </c>
      <c r="DZ99" s="31">
        <v>0.98148148148148151</v>
      </c>
      <c r="EA99" s="31">
        <v>0.97720364741641341</v>
      </c>
      <c r="EB99" s="31">
        <v>0.98656716417910451</v>
      </c>
      <c r="EC99" s="31">
        <v>0.98658718330849482</v>
      </c>
      <c r="ED99" s="31">
        <v>0.97912648909671651</v>
      </c>
      <c r="EE99" s="31">
        <v>0.9756838905775076</v>
      </c>
      <c r="EF99" s="31">
        <v>0.98320610687022902</v>
      </c>
      <c r="EG99" s="31">
        <v>0.97388632872503844</v>
      </c>
      <c r="EH99" s="31">
        <v>0.96913580246913578</v>
      </c>
      <c r="EI99" s="31">
        <v>0.98167938931297705</v>
      </c>
      <c r="EJ99" s="31">
        <v>0.98153846153846158</v>
      </c>
      <c r="EK99" s="31">
        <v>0.98778625954198473</v>
      </c>
      <c r="EL99" s="31">
        <v>0.97898803414790492</v>
      </c>
    </row>
    <row r="100" spans="38:142" x14ac:dyDescent="0.35">
      <c r="AL100" s="19" t="s">
        <v>143</v>
      </c>
      <c r="AM100" s="31">
        <v>0.91866028708133973</v>
      </c>
      <c r="AN100" s="31">
        <v>0.92434988179669031</v>
      </c>
      <c r="AO100" s="31">
        <v>0.92105263157894735</v>
      </c>
      <c r="AP100" s="31">
        <v>0.90453460620525061</v>
      </c>
      <c r="AQ100" s="31">
        <v>0.93601895734597151</v>
      </c>
      <c r="AR100" s="31">
        <v>0.92399049881235151</v>
      </c>
      <c r="AS100" s="31">
        <v>0.8951048951048951</v>
      </c>
      <c r="AT100" s="31">
        <v>0.91767310827506365</v>
      </c>
      <c r="AU100" s="31">
        <v>0.90209790209790208</v>
      </c>
      <c r="AV100" s="31">
        <v>0.9301204819277108</v>
      </c>
      <c r="AW100" s="31">
        <v>0.90521327014218012</v>
      </c>
      <c r="AX100" s="31">
        <v>0.91469194312796209</v>
      </c>
      <c r="AY100" s="31">
        <v>0.93838862559241709</v>
      </c>
      <c r="AZ100" s="31">
        <v>0.92124105011933177</v>
      </c>
      <c r="BA100" s="31">
        <v>0.91169451073985686</v>
      </c>
      <c r="BB100" s="31">
        <v>0.91763539767819435</v>
      </c>
      <c r="BC100" s="31">
        <v>0.9373493975903614</v>
      </c>
      <c r="BD100" s="31">
        <v>0.92399049881235151</v>
      </c>
      <c r="BE100" s="31">
        <v>0.95180722891566261</v>
      </c>
      <c r="BF100" s="31">
        <v>0.94216867469879517</v>
      </c>
      <c r="BG100" s="31">
        <v>0.91981132075471694</v>
      </c>
      <c r="BH100" s="31">
        <v>0.94103773584905659</v>
      </c>
      <c r="BI100" s="31">
        <v>0.9314420803782506</v>
      </c>
      <c r="BJ100" s="31">
        <v>0.93537241957131367</v>
      </c>
      <c r="BK100" s="31">
        <v>0.85952380952380958</v>
      </c>
      <c r="BL100" s="31">
        <v>0.95577395577395574</v>
      </c>
      <c r="BM100" s="31">
        <v>0.847255369928401</v>
      </c>
      <c r="BN100" s="31">
        <v>0.87380952380952381</v>
      </c>
      <c r="BO100" s="31">
        <v>0.89613526570048307</v>
      </c>
      <c r="BP100" s="31">
        <v>0.93689320388349517</v>
      </c>
      <c r="BQ100" s="31">
        <v>0.90072639225181594</v>
      </c>
      <c r="BR100" s="31">
        <v>0.89573107441021216</v>
      </c>
      <c r="BS100" s="31">
        <v>0.9284009546539379</v>
      </c>
      <c r="BT100" s="31">
        <v>0.8949880668257757</v>
      </c>
      <c r="BU100" s="31">
        <v>0.92601431980906923</v>
      </c>
      <c r="BV100" s="31">
        <v>0.93556085918854415</v>
      </c>
      <c r="BW100" s="31">
        <v>0.919047619047619</v>
      </c>
      <c r="BX100" s="31">
        <v>0.92124105011933177</v>
      </c>
      <c r="BY100" s="31">
        <v>0.95410628019323673</v>
      </c>
      <c r="BZ100" s="31">
        <v>0.92562273569107345</v>
      </c>
      <c r="CA100" s="31">
        <v>0.90993071593533492</v>
      </c>
      <c r="CB100" s="31">
        <v>0.8929384965831435</v>
      </c>
      <c r="CC100" s="31">
        <v>0.90719257540603249</v>
      </c>
      <c r="CD100" s="31">
        <v>0.93287037037037035</v>
      </c>
      <c r="CE100" s="31">
        <v>0.90993071593533492</v>
      </c>
      <c r="CF100" s="31">
        <v>0.90888382687927105</v>
      </c>
      <c r="CG100" s="31">
        <v>0.9453302961275627</v>
      </c>
      <c r="CH100" s="31">
        <v>0.9152967138910072</v>
      </c>
      <c r="CI100" s="31">
        <v>0.88452655889145493</v>
      </c>
      <c r="CJ100" s="31">
        <v>0.8896551724137931</v>
      </c>
      <c r="CK100" s="31">
        <v>0.89631336405529949</v>
      </c>
      <c r="CL100" s="31">
        <v>0.92431192660550454</v>
      </c>
      <c r="CM100" s="31">
        <v>0.92626728110599077</v>
      </c>
      <c r="CN100" s="31">
        <v>0.89702517162471396</v>
      </c>
      <c r="CO100" s="31">
        <v>0.88787185354691078</v>
      </c>
      <c r="CP100" s="31">
        <v>0.90085304689195245</v>
      </c>
      <c r="CQ100" s="31">
        <v>0.95348837209302328</v>
      </c>
      <c r="CR100" s="31">
        <v>0.91685393258426962</v>
      </c>
      <c r="CS100" s="31">
        <v>0.91355140186915884</v>
      </c>
      <c r="CT100" s="31">
        <v>0.92074592074592077</v>
      </c>
      <c r="CU100" s="31">
        <v>0.97647058823529409</v>
      </c>
      <c r="CV100" s="31">
        <v>0.93882352941176472</v>
      </c>
      <c r="CW100" s="31">
        <v>0.92705882352941171</v>
      </c>
      <c r="CX100" s="31">
        <v>0.9352846526384061</v>
      </c>
      <c r="CY100" s="31">
        <v>0.93939393939393945</v>
      </c>
      <c r="CZ100" s="31">
        <v>0.93556085918854415</v>
      </c>
      <c r="DA100" s="31">
        <v>0.95784543325526927</v>
      </c>
      <c r="DB100" s="31">
        <v>0.95754716981132071</v>
      </c>
      <c r="DC100" s="31">
        <v>0.93720930232558142</v>
      </c>
      <c r="DD100" s="31">
        <v>0.93617021276595747</v>
      </c>
      <c r="DE100" s="31">
        <v>0.94366197183098588</v>
      </c>
      <c r="DF100" s="31">
        <v>0.94391269836737124</v>
      </c>
      <c r="DG100" s="31">
        <v>0.95560747663551404</v>
      </c>
      <c r="DH100" s="31">
        <v>0.94536817102137771</v>
      </c>
      <c r="DI100" s="31">
        <v>0.94431554524361949</v>
      </c>
      <c r="DJ100" s="31">
        <v>0.91898148148148151</v>
      </c>
      <c r="DK100" s="31">
        <v>0.95754716981132071</v>
      </c>
      <c r="DL100" s="31">
        <v>0.93647058823529417</v>
      </c>
      <c r="DM100" s="31">
        <v>0.96519721577726214</v>
      </c>
      <c r="DN100" s="31">
        <v>0.94621252117226717</v>
      </c>
      <c r="DO100" s="31">
        <v>0.93647058823529417</v>
      </c>
      <c r="DP100" s="31">
        <v>0.92</v>
      </c>
      <c r="DQ100" s="31">
        <v>0.93647058823529417</v>
      </c>
      <c r="DR100" s="31">
        <v>0.94588235294117651</v>
      </c>
      <c r="DS100" s="31">
        <v>0.95933014354066981</v>
      </c>
      <c r="DT100" s="31">
        <v>0.93764988009592332</v>
      </c>
      <c r="DU100" s="31">
        <v>0.92890995260663511</v>
      </c>
      <c r="DV100" s="31">
        <v>0.93781621509357038</v>
      </c>
      <c r="DW100" s="31">
        <v>0.9320843091334895</v>
      </c>
      <c r="DX100" s="31">
        <v>0.95023696682464454</v>
      </c>
      <c r="DY100" s="31">
        <v>0.93427230046948362</v>
      </c>
      <c r="DZ100" s="31">
        <v>0.91822429906542058</v>
      </c>
      <c r="EA100" s="31">
        <v>0.94145199063231855</v>
      </c>
      <c r="EB100" s="31">
        <v>0.92609699769053122</v>
      </c>
      <c r="EC100" s="31">
        <v>0.92705882352941171</v>
      </c>
      <c r="ED100" s="31">
        <v>0.93277509819218563</v>
      </c>
      <c r="EE100" s="31">
        <v>0.94075829383886256</v>
      </c>
      <c r="EF100" s="31">
        <v>0.91803278688524592</v>
      </c>
      <c r="EG100" s="31">
        <v>0.94285714285714284</v>
      </c>
      <c r="EH100" s="31">
        <v>0.9285714285714286</v>
      </c>
      <c r="EI100" s="31">
        <v>0.92488262910798125</v>
      </c>
      <c r="EJ100" s="31">
        <v>0.93364928909952605</v>
      </c>
      <c r="EK100" s="31">
        <v>0.93396226415094341</v>
      </c>
      <c r="EL100" s="31">
        <v>0.93181626207301871</v>
      </c>
    </row>
    <row r="101" spans="38:142" x14ac:dyDescent="0.35">
      <c r="AL101" s="19" t="s">
        <v>144</v>
      </c>
      <c r="AM101" s="31">
        <v>0.95672333848531688</v>
      </c>
      <c r="AN101" s="31">
        <v>0.96583850931677018</v>
      </c>
      <c r="AO101" s="31">
        <v>0.93108728943338437</v>
      </c>
      <c r="AP101" s="31">
        <v>0.93178294573643405</v>
      </c>
      <c r="AQ101" s="31">
        <v>0.98286604361370722</v>
      </c>
      <c r="AR101" s="31">
        <v>0.97626582278481011</v>
      </c>
      <c r="AS101" s="31">
        <v>0.94453004622496151</v>
      </c>
      <c r="AT101" s="31">
        <v>0.95558485651362624</v>
      </c>
      <c r="AU101" s="31">
        <v>0.99536321483771251</v>
      </c>
      <c r="AV101" s="31">
        <v>0.95489891135303262</v>
      </c>
      <c r="AW101" s="31">
        <v>0.94285714285714284</v>
      </c>
      <c r="AX101" s="31">
        <v>0.96445131375579596</v>
      </c>
      <c r="AY101" s="31">
        <v>0.98913043478260865</v>
      </c>
      <c r="AZ101" s="31">
        <v>0.97063369397217925</v>
      </c>
      <c r="BA101" s="31">
        <v>0.99690402476780182</v>
      </c>
      <c r="BB101" s="31">
        <v>0.9734626766180392</v>
      </c>
      <c r="BC101" s="31">
        <v>0.87441130298273151</v>
      </c>
      <c r="BD101" s="31">
        <v>0.86299212598425201</v>
      </c>
      <c r="BE101" s="31">
        <v>0.86656200941915229</v>
      </c>
      <c r="BF101" s="31">
        <v>0.87167449139280129</v>
      </c>
      <c r="BG101" s="31">
        <v>0.86656200941915229</v>
      </c>
      <c r="BH101" s="31">
        <v>0.88207547169811318</v>
      </c>
      <c r="BI101" s="31">
        <v>0.89655172413793105</v>
      </c>
      <c r="BJ101" s="31">
        <v>0.87440416214773342</v>
      </c>
      <c r="BK101" s="31">
        <v>0.81499202551834127</v>
      </c>
      <c r="BL101" s="31">
        <v>0.87441130298273151</v>
      </c>
      <c r="BM101" s="31">
        <v>0.72408293460925044</v>
      </c>
      <c r="BN101" s="31">
        <v>0.79018612521150589</v>
      </c>
      <c r="BO101" s="31">
        <v>0.83596214511041012</v>
      </c>
      <c r="BP101" s="31">
        <v>0.87697160883280756</v>
      </c>
      <c r="BQ101" s="31">
        <v>0.85625965996908815</v>
      </c>
      <c r="BR101" s="31">
        <v>0.82469511460487632</v>
      </c>
      <c r="BS101" s="31">
        <v>0.87816455696202533</v>
      </c>
      <c r="BT101" s="31">
        <v>0.83306055646481181</v>
      </c>
      <c r="BU101" s="31">
        <v>0.87321711568938198</v>
      </c>
      <c r="BV101" s="31">
        <v>0.86593059936908512</v>
      </c>
      <c r="BW101" s="31">
        <v>0.87066246056782337</v>
      </c>
      <c r="BX101" s="31">
        <v>0.86535303776683092</v>
      </c>
      <c r="BY101" s="31">
        <v>0.85939968404423384</v>
      </c>
      <c r="BZ101" s="31">
        <v>0.8636840015520274</v>
      </c>
      <c r="CA101" s="31">
        <v>0.89206349206349211</v>
      </c>
      <c r="CB101" s="31">
        <v>0.86075949367088611</v>
      </c>
      <c r="CC101" s="31">
        <v>0.87816455696202533</v>
      </c>
      <c r="CD101" s="31">
        <v>0.89297124600638977</v>
      </c>
      <c r="CE101" s="31">
        <v>0.86750788643533128</v>
      </c>
      <c r="CF101" s="31">
        <v>0.85871271585557296</v>
      </c>
      <c r="CG101" s="31">
        <v>0.87955625990491282</v>
      </c>
      <c r="CH101" s="31">
        <v>0.87567652155694442</v>
      </c>
      <c r="CI101" s="31">
        <v>0.90437601296596437</v>
      </c>
      <c r="CJ101" s="31">
        <v>0.86936236391912913</v>
      </c>
      <c r="CK101" s="31">
        <v>0.8964401294498382</v>
      </c>
      <c r="CL101" s="31">
        <v>0.88102893890675238</v>
      </c>
      <c r="CM101" s="31">
        <v>0.8867924528301887</v>
      </c>
      <c r="CN101" s="31">
        <v>0.88188976377952755</v>
      </c>
      <c r="CO101" s="31">
        <v>0.87854889589905361</v>
      </c>
      <c r="CP101" s="31">
        <v>0.88549122253577917</v>
      </c>
      <c r="CQ101" s="31">
        <v>0.94233937397034595</v>
      </c>
      <c r="CR101" s="31">
        <v>0.90016366612111298</v>
      </c>
      <c r="CS101" s="31">
        <v>0.9375</v>
      </c>
      <c r="CT101" s="31">
        <v>0.94545454545454544</v>
      </c>
      <c r="CU101" s="31">
        <v>0.89967637540453071</v>
      </c>
      <c r="CV101" s="31">
        <v>0.91133004926108374</v>
      </c>
      <c r="CW101" s="31">
        <v>0.91290322580645167</v>
      </c>
      <c r="CX101" s="31">
        <v>0.92133817657401007</v>
      </c>
      <c r="CY101" s="31">
        <v>0.92751235584843494</v>
      </c>
      <c r="CZ101" s="31">
        <v>0.93114754098360653</v>
      </c>
      <c r="DA101" s="31">
        <v>0.91846921797004988</v>
      </c>
      <c r="DB101" s="31">
        <v>0.9072847682119205</v>
      </c>
      <c r="DC101" s="31">
        <v>0.92715231788079466</v>
      </c>
      <c r="DD101" s="31">
        <v>0.94719471947194722</v>
      </c>
      <c r="DE101" s="31">
        <v>0.93245469522240532</v>
      </c>
      <c r="DF101" s="31">
        <v>0.92731651651273717</v>
      </c>
      <c r="DG101" s="31">
        <v>0.94909688013136284</v>
      </c>
      <c r="DH101" s="31">
        <v>0.94876033057851239</v>
      </c>
      <c r="DI101" s="31">
        <v>0.92622950819672134</v>
      </c>
      <c r="DJ101" s="31">
        <v>0.92703150912106136</v>
      </c>
      <c r="DK101" s="31">
        <v>0.94146341463414629</v>
      </c>
      <c r="DL101" s="31">
        <v>0.93388429752066116</v>
      </c>
      <c r="DM101" s="31">
        <v>0.95214521452145218</v>
      </c>
      <c r="DN101" s="31">
        <v>0.93980159352913106</v>
      </c>
      <c r="DO101" s="31">
        <v>0.94603709949409776</v>
      </c>
      <c r="DP101" s="31">
        <v>0.89819376026272579</v>
      </c>
      <c r="DQ101" s="31">
        <v>0.94621848739495795</v>
      </c>
      <c r="DR101" s="31">
        <v>0.94481605351170572</v>
      </c>
      <c r="DS101" s="31">
        <v>0.9262981574539364</v>
      </c>
      <c r="DT101" s="31">
        <v>0.94247038917089676</v>
      </c>
      <c r="DU101" s="31">
        <v>0.93166666666666664</v>
      </c>
      <c r="DV101" s="31">
        <v>0.9336715162792838</v>
      </c>
      <c r="DW101" s="31">
        <v>0.9563758389261745</v>
      </c>
      <c r="DX101" s="31">
        <v>0.94824707846410683</v>
      </c>
      <c r="DY101" s="31">
        <v>0.94816053511705689</v>
      </c>
      <c r="DZ101" s="31">
        <v>0.93500000000000005</v>
      </c>
      <c r="EA101" s="31">
        <v>0.96795952782462058</v>
      </c>
      <c r="EB101" s="31">
        <v>0.94833333333333336</v>
      </c>
      <c r="EC101" s="31">
        <v>0.95142378559463991</v>
      </c>
      <c r="ED101" s="31">
        <v>0.95078572846570453</v>
      </c>
      <c r="EE101" s="31">
        <v>0.93333333333333335</v>
      </c>
      <c r="EF101" s="31">
        <v>0.93666666666666665</v>
      </c>
      <c r="EG101" s="31">
        <v>0.92833333333333334</v>
      </c>
      <c r="EH101" s="31">
        <v>0.9346733668341709</v>
      </c>
      <c r="EI101" s="31">
        <v>0.93666666666666665</v>
      </c>
      <c r="EJ101" s="31">
        <v>0.94333333333333336</v>
      </c>
      <c r="EK101" s="31">
        <v>0.94991652754590983</v>
      </c>
      <c r="EL101" s="31">
        <v>0.93756046110191626</v>
      </c>
    </row>
    <row r="102" spans="38:142" x14ac:dyDescent="0.35">
      <c r="AL102" s="19" t="s">
        <v>145</v>
      </c>
      <c r="AM102" s="31">
        <v>0.95795795795795791</v>
      </c>
      <c r="AN102" s="31">
        <v>0.96036585365853655</v>
      </c>
      <c r="AO102" s="31">
        <v>0.95808383233532934</v>
      </c>
      <c r="AP102" s="31">
        <v>0.9668674698795181</v>
      </c>
      <c r="AQ102" s="31">
        <v>0.96716417910447761</v>
      </c>
      <c r="AR102" s="31">
        <v>0.97553516819571862</v>
      </c>
      <c r="AS102" s="31">
        <v>0.96352583586626139</v>
      </c>
      <c r="AT102" s="31">
        <v>0.96421432814254271</v>
      </c>
      <c r="AU102" s="31">
        <v>0.97297297297297303</v>
      </c>
      <c r="AV102" s="31">
        <v>0.96726190476190477</v>
      </c>
      <c r="AW102" s="31">
        <v>0.95731707317073167</v>
      </c>
      <c r="AX102" s="31">
        <v>0.96676737160120851</v>
      </c>
      <c r="AY102" s="31">
        <v>0.97297297297297303</v>
      </c>
      <c r="AZ102" s="31">
        <v>0.95440729483282671</v>
      </c>
      <c r="BA102" s="31">
        <v>0.97640117994100295</v>
      </c>
      <c r="BB102" s="31">
        <v>0.96687153860765995</v>
      </c>
      <c r="BC102" s="31">
        <v>0.95924764890282133</v>
      </c>
      <c r="BD102" s="31">
        <v>0.9756838905775076</v>
      </c>
      <c r="BE102" s="31">
        <v>0.92332268370607029</v>
      </c>
      <c r="BF102" s="31">
        <v>0.9154078549848943</v>
      </c>
      <c r="BG102" s="31">
        <v>0.94670846394984332</v>
      </c>
      <c r="BH102" s="31">
        <v>0.96676737160120851</v>
      </c>
      <c r="BI102" s="31">
        <v>0.88787878787878793</v>
      </c>
      <c r="BJ102" s="31">
        <v>0.93928810022873332</v>
      </c>
      <c r="BK102" s="31">
        <v>0.92976588628762546</v>
      </c>
      <c r="BL102" s="31">
        <v>0.98412698412698407</v>
      </c>
      <c r="BM102" s="31">
        <v>0.85084745762711866</v>
      </c>
      <c r="BN102" s="31">
        <v>0.88775510204081631</v>
      </c>
      <c r="BO102" s="31">
        <v>0.93114754098360653</v>
      </c>
      <c r="BP102" s="31">
        <v>0.95873015873015877</v>
      </c>
      <c r="BQ102" s="31">
        <v>0.90705128205128205</v>
      </c>
      <c r="BR102" s="31">
        <v>0.92134634454965592</v>
      </c>
      <c r="BS102" s="31">
        <v>0.98119122257053293</v>
      </c>
      <c r="BT102" s="31">
        <v>0.93197278911564629</v>
      </c>
      <c r="BU102" s="31">
        <v>0.94838709677419353</v>
      </c>
      <c r="BV102" s="31">
        <v>0.90184049079754602</v>
      </c>
      <c r="BW102" s="31">
        <v>0.92354740061162077</v>
      </c>
      <c r="BX102" s="31">
        <v>0.94701986754966883</v>
      </c>
      <c r="BY102" s="31">
        <v>0.96835443037974689</v>
      </c>
      <c r="BZ102" s="31">
        <v>0.94318761397127937</v>
      </c>
      <c r="CA102" s="31">
        <v>0.92447129909365555</v>
      </c>
      <c r="CB102" s="31">
        <v>0.93188854489164086</v>
      </c>
      <c r="CC102" s="31">
        <v>0.93865030674846628</v>
      </c>
      <c r="CD102" s="31">
        <v>0.93577981651376152</v>
      </c>
      <c r="CE102" s="31">
        <v>0.97590361445783136</v>
      </c>
      <c r="CF102" s="31">
        <v>0.96048632218844987</v>
      </c>
      <c r="CG102" s="31">
        <v>0.95757575757575752</v>
      </c>
      <c r="CH102" s="31">
        <v>0.94639366592422314</v>
      </c>
      <c r="CI102" s="31">
        <v>0.93538461538461537</v>
      </c>
      <c r="CJ102" s="31">
        <v>0.97546012269938653</v>
      </c>
      <c r="CK102" s="31">
        <v>0.94444444444444442</v>
      </c>
      <c r="CL102" s="31">
        <v>0.97239263803680986</v>
      </c>
      <c r="CM102" s="31">
        <v>0.96987951807228912</v>
      </c>
      <c r="CN102" s="31">
        <v>0.96036585365853655</v>
      </c>
      <c r="CO102" s="31">
        <v>0.95121951219512191</v>
      </c>
      <c r="CP102" s="31">
        <v>0.95844952921302917</v>
      </c>
      <c r="CQ102" s="31">
        <v>0.97530864197530864</v>
      </c>
      <c r="CR102" s="31">
        <v>0.9880239520958084</v>
      </c>
      <c r="CS102" s="31">
        <v>0.95757575757575752</v>
      </c>
      <c r="CT102" s="31">
        <v>0.98753894080996885</v>
      </c>
      <c r="CU102" s="31">
        <v>0.96978851963746227</v>
      </c>
      <c r="CV102" s="31">
        <v>0.95508982035928147</v>
      </c>
      <c r="CW102" s="31">
        <v>0.94561933534743203</v>
      </c>
      <c r="CX102" s="31">
        <v>0.9684207096858598</v>
      </c>
      <c r="CY102" s="31">
        <v>0.95121951219512191</v>
      </c>
      <c r="CZ102" s="31">
        <v>0.96296296296296291</v>
      </c>
      <c r="DA102" s="31">
        <v>0.92901234567901236</v>
      </c>
      <c r="DB102" s="31">
        <v>0.94753086419753085</v>
      </c>
      <c r="DC102" s="31">
        <v>0.94561933534743203</v>
      </c>
      <c r="DD102" s="31">
        <v>0.96583850931677018</v>
      </c>
      <c r="DE102" s="31">
        <v>0.94578313253012047</v>
      </c>
      <c r="DF102" s="31">
        <v>0.94970952317556445</v>
      </c>
      <c r="DG102" s="31">
        <v>0.92660550458715596</v>
      </c>
      <c r="DH102" s="31">
        <v>0.96951219512195119</v>
      </c>
      <c r="DI102" s="31">
        <v>0.9242424242424242</v>
      </c>
      <c r="DJ102" s="31">
        <v>0.92476489028213171</v>
      </c>
      <c r="DK102" s="31">
        <v>0.86274509803921573</v>
      </c>
      <c r="DL102" s="31">
        <v>0.97878787878787876</v>
      </c>
      <c r="DM102" s="31">
        <v>0.96374622356495465</v>
      </c>
      <c r="DN102" s="31">
        <v>0.93577203066081616</v>
      </c>
      <c r="DO102" s="31">
        <v>0.93674698795180722</v>
      </c>
      <c r="DP102" s="31">
        <v>0.98432601880877746</v>
      </c>
      <c r="DQ102" s="31">
        <v>0.93251533742331283</v>
      </c>
      <c r="DR102" s="31">
        <v>0.85352112676056335</v>
      </c>
      <c r="DS102" s="31">
        <v>0.94848484848484849</v>
      </c>
      <c r="DT102" s="31">
        <v>0.95705521472392641</v>
      </c>
      <c r="DU102" s="31">
        <v>0.9719626168224299</v>
      </c>
      <c r="DV102" s="31">
        <v>0.94065887871080933</v>
      </c>
      <c r="DW102" s="31">
        <v>0.96374622356495465</v>
      </c>
      <c r="DX102" s="31">
        <v>0.96319018404907975</v>
      </c>
      <c r="DY102" s="31">
        <v>0.82535211267605635</v>
      </c>
      <c r="DZ102" s="31">
        <v>0.83565459610027859</v>
      </c>
      <c r="EA102" s="31">
        <v>0.89295774647887327</v>
      </c>
      <c r="EB102" s="31">
        <v>0.93597560975609762</v>
      </c>
      <c r="EC102" s="31">
        <v>0.91212121212121211</v>
      </c>
      <c r="ED102" s="31">
        <v>0.9041425263923647</v>
      </c>
      <c r="EE102" s="31">
        <v>0.8707865168539326</v>
      </c>
      <c r="EF102" s="31">
        <v>0.97419354838709682</v>
      </c>
      <c r="EG102" s="31">
        <v>0.8707865168539326</v>
      </c>
      <c r="EH102" s="31">
        <v>0.96646341463414631</v>
      </c>
      <c r="EI102" s="31">
        <v>0.98148148148148151</v>
      </c>
      <c r="EJ102" s="31">
        <v>0.96307692307692305</v>
      </c>
      <c r="EK102" s="31">
        <v>0.8753462603878116</v>
      </c>
      <c r="EL102" s="31">
        <v>0.92887638023933217</v>
      </c>
    </row>
    <row r="103" spans="38:142" x14ac:dyDescent="0.35">
      <c r="AL103" s="19" t="s">
        <v>146</v>
      </c>
      <c r="AM103" s="31">
        <v>0.85900216919739691</v>
      </c>
      <c r="AN103" s="31">
        <v>0.81158357771260992</v>
      </c>
      <c r="AO103" s="31">
        <v>0.82452276064610863</v>
      </c>
      <c r="AP103" s="31">
        <v>0.81872213967310548</v>
      </c>
      <c r="AQ103" s="31">
        <v>0.8492753623188406</v>
      </c>
      <c r="AR103" s="31">
        <v>0.82451051486584481</v>
      </c>
      <c r="AS103" s="31">
        <v>0.84872727272727277</v>
      </c>
      <c r="AT103" s="31">
        <v>0.83376339959159707</v>
      </c>
      <c r="AU103" s="31">
        <v>0.85070422535211265</v>
      </c>
      <c r="AV103" s="31">
        <v>0.82201572551822732</v>
      </c>
      <c r="AW103" s="31">
        <v>0.85070422535211265</v>
      </c>
      <c r="AX103" s="31">
        <v>0.84229918938835668</v>
      </c>
      <c r="AY103" s="31">
        <v>0.87455452601568073</v>
      </c>
      <c r="AZ103" s="31">
        <v>0.85868005738880915</v>
      </c>
      <c r="BA103" s="31">
        <v>0.86389684813753587</v>
      </c>
      <c r="BB103" s="31">
        <v>0.85183639959326207</v>
      </c>
      <c r="BC103" s="31">
        <v>0.81675017895490332</v>
      </c>
      <c r="BD103" s="31">
        <v>0.84048640915593709</v>
      </c>
      <c r="BE103" s="31">
        <v>0.78508124076809449</v>
      </c>
      <c r="BF103" s="31">
        <v>0.77003745318352057</v>
      </c>
      <c r="BG103" s="31">
        <v>0.84050811573747353</v>
      </c>
      <c r="BH103" s="31">
        <v>0.86894586894586889</v>
      </c>
      <c r="BI103" s="31">
        <v>0.85976039464411558</v>
      </c>
      <c r="BJ103" s="31">
        <v>0.82593852305570192</v>
      </c>
      <c r="BK103" s="31">
        <v>0.6598540145985401</v>
      </c>
      <c r="BL103" s="31">
        <v>0.76714285714285713</v>
      </c>
      <c r="BM103" s="31">
        <v>0.58479087452471479</v>
      </c>
      <c r="BN103" s="31">
        <v>0.61391437308868502</v>
      </c>
      <c r="BO103" s="31">
        <v>0.74181818181818182</v>
      </c>
      <c r="BP103" s="31">
        <v>0.77911931818181823</v>
      </c>
      <c r="BQ103" s="31">
        <v>0.75483870967741939</v>
      </c>
      <c r="BR103" s="31">
        <v>0.70021118986174513</v>
      </c>
      <c r="BS103" s="31">
        <v>0.75094625283875849</v>
      </c>
      <c r="BT103" s="31">
        <v>0.61643835616438358</v>
      </c>
      <c r="BU103" s="31">
        <v>0.7398119122257053</v>
      </c>
      <c r="BV103" s="31">
        <v>0.75372549019607848</v>
      </c>
      <c r="BW103" s="31">
        <v>0.7352727272727273</v>
      </c>
      <c r="BX103" s="31">
        <v>0.65965166908563133</v>
      </c>
      <c r="BY103" s="31">
        <v>0.71304974765681328</v>
      </c>
      <c r="BZ103" s="31">
        <v>0.70984230792001402</v>
      </c>
      <c r="CA103" s="31">
        <v>0.8193499622071051</v>
      </c>
      <c r="CB103" s="31">
        <v>0.75419847328244272</v>
      </c>
      <c r="CC103" s="31">
        <v>0.81556420233463034</v>
      </c>
      <c r="CD103" s="31">
        <v>0.80903328050713152</v>
      </c>
      <c r="CE103" s="31">
        <v>0.83785822021116141</v>
      </c>
      <c r="CF103" s="31">
        <v>0.79770992366412219</v>
      </c>
      <c r="CG103" s="31">
        <v>0.82701062215477994</v>
      </c>
      <c r="CH103" s="31">
        <v>0.80867495490876773</v>
      </c>
      <c r="CI103" s="31">
        <v>0.86791044776119408</v>
      </c>
      <c r="CJ103" s="31">
        <v>0.81790591805766311</v>
      </c>
      <c r="CK103" s="31">
        <v>0.84887218045112778</v>
      </c>
      <c r="CL103" s="31">
        <v>0.85604900459418065</v>
      </c>
      <c r="CM103" s="31">
        <v>0.87144992526158449</v>
      </c>
      <c r="CN103" s="31">
        <v>0.8539325842696629</v>
      </c>
      <c r="CO103" s="31">
        <v>0.86681547619047616</v>
      </c>
      <c r="CP103" s="31">
        <v>0.85470507665512696</v>
      </c>
      <c r="CQ103" s="31">
        <v>0.85797101449275359</v>
      </c>
      <c r="CR103" s="31">
        <v>0.82707873436350254</v>
      </c>
      <c r="CS103" s="31">
        <v>0.85066864784546803</v>
      </c>
      <c r="CT103" s="31">
        <v>0.83020285499624347</v>
      </c>
      <c r="CU103" s="31">
        <v>0.86137184115523469</v>
      </c>
      <c r="CV103" s="31">
        <v>0.85412107950401162</v>
      </c>
      <c r="CW103" s="31">
        <v>0.86811594202898545</v>
      </c>
      <c r="CX103" s="31">
        <v>0.8499328734837428</v>
      </c>
      <c r="CY103" s="31">
        <v>0.87733142037302725</v>
      </c>
      <c r="CZ103" s="31">
        <v>0.82538517975055026</v>
      </c>
      <c r="DA103" s="31">
        <v>0.85608856088560881</v>
      </c>
      <c r="DB103" s="31">
        <v>0.86121530382595646</v>
      </c>
      <c r="DC103" s="31">
        <v>0.89245014245014243</v>
      </c>
      <c r="DD103" s="31">
        <v>0.85630926331145152</v>
      </c>
      <c r="DE103" s="31">
        <v>0.88976945244956773</v>
      </c>
      <c r="DF103" s="31">
        <v>0.86550704614947216</v>
      </c>
      <c r="DG103" s="31">
        <v>0.8765081618168914</v>
      </c>
      <c r="DH103" s="31">
        <v>0.84781048097631018</v>
      </c>
      <c r="DI103" s="31">
        <v>0.85126353790613718</v>
      </c>
      <c r="DJ103" s="31">
        <v>0.84660766961651912</v>
      </c>
      <c r="DK103" s="31">
        <v>0.87103594080338265</v>
      </c>
      <c r="DL103" s="31">
        <v>0.87865810135617417</v>
      </c>
      <c r="DM103" s="31">
        <v>0.88618468146027196</v>
      </c>
      <c r="DN103" s="31">
        <v>0.86543836770509819</v>
      </c>
      <c r="DO103" s="31">
        <v>0.83760683760683763</v>
      </c>
      <c r="DP103" s="31">
        <v>0.83428165007112376</v>
      </c>
      <c r="DQ103" s="31">
        <v>0.83695652173913049</v>
      </c>
      <c r="DR103" s="31">
        <v>0.82890855457227142</v>
      </c>
      <c r="DS103" s="31">
        <v>0.85490753911806538</v>
      </c>
      <c r="DT103" s="31">
        <v>0.85886524822695032</v>
      </c>
      <c r="DU103" s="31">
        <v>0.8731290092658589</v>
      </c>
      <c r="DV103" s="31">
        <v>0.84637933722860537</v>
      </c>
      <c r="DW103" s="31">
        <v>0.8492957746478873</v>
      </c>
      <c r="DX103" s="31">
        <v>0.81670205237084215</v>
      </c>
      <c r="DY103" s="31">
        <v>0.84298118668596234</v>
      </c>
      <c r="DZ103" s="31">
        <v>0.83771929824561409</v>
      </c>
      <c r="EA103" s="31">
        <v>0.85070422535211265</v>
      </c>
      <c r="EB103" s="31">
        <v>0.85192982456140354</v>
      </c>
      <c r="EC103" s="31">
        <v>0.83415666901905439</v>
      </c>
      <c r="ED103" s="31">
        <v>0.8404984329832681</v>
      </c>
      <c r="EE103" s="31">
        <v>0.86099290780141846</v>
      </c>
      <c r="EF103" s="31">
        <v>0.84483985765124558</v>
      </c>
      <c r="EG103" s="31">
        <v>0.81646030589949015</v>
      </c>
      <c r="EH103" s="31">
        <v>0.82217261904761907</v>
      </c>
      <c r="EI103" s="31">
        <v>0.8884180790960452</v>
      </c>
      <c r="EJ103" s="31">
        <v>0.8549295774647887</v>
      </c>
      <c r="EK103" s="31">
        <v>0.87208480565371027</v>
      </c>
      <c r="EL103" s="31">
        <v>0.85141402180204528</v>
      </c>
    </row>
    <row r="104" spans="38:142" x14ac:dyDescent="0.35">
      <c r="AL104" s="19" t="s">
        <v>147</v>
      </c>
      <c r="AM104" s="31">
        <v>0.9830985915492958</v>
      </c>
      <c r="AN104" s="31">
        <v>0.96883852691218131</v>
      </c>
      <c r="AO104" s="31">
        <v>0.97421203438395421</v>
      </c>
      <c r="AP104" s="31">
        <v>0.99140401146131807</v>
      </c>
      <c r="AQ104" s="31">
        <v>0.9887323943661972</v>
      </c>
      <c r="AR104" s="31">
        <v>0.96327683615819204</v>
      </c>
      <c r="AS104" s="31">
        <v>0.99152542372881358</v>
      </c>
      <c r="AT104" s="31">
        <v>0.98015540265142176</v>
      </c>
      <c r="AU104" s="31">
        <v>0.9831460674157303</v>
      </c>
      <c r="AV104" s="31">
        <v>1</v>
      </c>
      <c r="AW104" s="31">
        <v>0.9467787114845938</v>
      </c>
      <c r="AX104" s="31">
        <v>0.96986301369863015</v>
      </c>
      <c r="AY104" s="31">
        <v>0.97159090909090906</v>
      </c>
      <c r="AZ104" s="31">
        <v>0.98016997167138808</v>
      </c>
      <c r="BA104" s="31">
        <v>0.96892655367231639</v>
      </c>
      <c r="BB104" s="31">
        <v>0.97435360386193826</v>
      </c>
      <c r="BC104" s="31">
        <v>0.96153846153846156</v>
      </c>
      <c r="BD104" s="31">
        <v>0.97380952380952379</v>
      </c>
      <c r="BE104" s="31">
        <v>0.94486215538847118</v>
      </c>
      <c r="BF104" s="31">
        <v>0.96019900497512434</v>
      </c>
      <c r="BG104" s="31">
        <v>0.97788697788697787</v>
      </c>
      <c r="BH104" s="31">
        <v>0.99761336515513122</v>
      </c>
      <c r="BI104" s="31">
        <v>0.98795180722891562</v>
      </c>
      <c r="BJ104" s="31">
        <v>0.9719801851403721</v>
      </c>
      <c r="BK104" s="31">
        <v>0.8957816377171216</v>
      </c>
      <c r="BL104" s="31">
        <v>0.9652605459057072</v>
      </c>
      <c r="BM104" s="31">
        <v>0.83123425692695219</v>
      </c>
      <c r="BN104" s="31">
        <v>0.87848101265822787</v>
      </c>
      <c r="BO104" s="31">
        <v>0.93398533007334961</v>
      </c>
      <c r="BP104" s="31">
        <v>0.96049382716049381</v>
      </c>
      <c r="BQ104" s="31">
        <v>0.94814814814814818</v>
      </c>
      <c r="BR104" s="31">
        <v>0.91619782265571437</v>
      </c>
      <c r="BS104" s="31">
        <v>0.9418886198547215</v>
      </c>
      <c r="BT104" s="31">
        <v>0.93198992443324935</v>
      </c>
      <c r="BU104" s="31">
        <v>0.92523364485981308</v>
      </c>
      <c r="BV104" s="31">
        <v>0.95961995249406173</v>
      </c>
      <c r="BW104" s="31">
        <v>0.93902439024390238</v>
      </c>
      <c r="BX104" s="31">
        <v>0.98034398034398029</v>
      </c>
      <c r="BY104" s="31">
        <v>0.96577017114914421</v>
      </c>
      <c r="BZ104" s="31">
        <v>0.94912438333983895</v>
      </c>
      <c r="CA104" s="31">
        <v>0.95683453237410077</v>
      </c>
      <c r="CB104" s="31">
        <v>0.96064814814814814</v>
      </c>
      <c r="CC104" s="31">
        <v>0.94216867469879517</v>
      </c>
      <c r="CD104" s="31">
        <v>0.94939759036144578</v>
      </c>
      <c r="CE104" s="31">
        <v>0.97156398104265407</v>
      </c>
      <c r="CF104" s="31">
        <v>0.97940503432494275</v>
      </c>
      <c r="CG104" s="31">
        <v>0.97584541062801933</v>
      </c>
      <c r="CH104" s="31">
        <v>0.96226619593972929</v>
      </c>
      <c r="CI104" s="31">
        <v>0.96593673965936744</v>
      </c>
      <c r="CJ104" s="31">
        <v>0.9509803921568627</v>
      </c>
      <c r="CK104" s="31">
        <v>0.9616306954436451</v>
      </c>
      <c r="CL104" s="31">
        <v>0.96658711217183768</v>
      </c>
      <c r="CM104" s="31">
        <v>0.96491228070175439</v>
      </c>
      <c r="CN104" s="31">
        <v>0.96172248803827753</v>
      </c>
      <c r="CO104" s="31">
        <v>0.97560975609756095</v>
      </c>
      <c r="CP104" s="31">
        <v>0.96391135203847234</v>
      </c>
      <c r="CQ104" s="31">
        <v>0.97783251231527091</v>
      </c>
      <c r="CR104" s="31">
        <v>0.94033412887828161</v>
      </c>
      <c r="CS104" s="31">
        <v>0.98349056603773588</v>
      </c>
      <c r="CT104" s="31">
        <v>0.98341232227488151</v>
      </c>
      <c r="CU104" s="31">
        <v>0.9928057553956835</v>
      </c>
      <c r="CV104" s="31">
        <v>0.9616306954436451</v>
      </c>
      <c r="CW104" s="31">
        <v>0.96618357487922701</v>
      </c>
      <c r="CX104" s="31">
        <v>0.97224136503210368</v>
      </c>
      <c r="CY104" s="31">
        <v>0.95271867612293148</v>
      </c>
      <c r="CZ104" s="31">
        <v>0.97826086956521741</v>
      </c>
      <c r="DA104" s="31">
        <v>0.93427230046948362</v>
      </c>
      <c r="DB104" s="31">
        <v>0.97578692493946728</v>
      </c>
      <c r="DC104" s="31">
        <v>0.931924882629108</v>
      </c>
      <c r="DD104" s="31">
        <v>0.96478873239436624</v>
      </c>
      <c r="DE104" s="31">
        <v>0.94047619047619047</v>
      </c>
      <c r="DF104" s="31">
        <v>0.95403265379953794</v>
      </c>
      <c r="DG104" s="31">
        <v>0.98786407766990292</v>
      </c>
      <c r="DH104" s="31">
        <v>0.95714285714285718</v>
      </c>
      <c r="DI104" s="31">
        <v>0.98809523809523814</v>
      </c>
      <c r="DJ104" s="31">
        <v>0.98058252427184467</v>
      </c>
      <c r="DK104" s="31">
        <v>0.98048780487804876</v>
      </c>
      <c r="DL104" s="31">
        <v>0.94366197183098588</v>
      </c>
      <c r="DM104" s="31">
        <v>0.97788697788697787</v>
      </c>
      <c r="DN104" s="31">
        <v>0.97367449311083643</v>
      </c>
      <c r="DO104" s="31">
        <v>0.99764150943396224</v>
      </c>
      <c r="DP104" s="31">
        <v>0.99511002444987773</v>
      </c>
      <c r="DQ104" s="31">
        <v>0.96713615023474175</v>
      </c>
      <c r="DR104" s="31">
        <v>0.97189695550351285</v>
      </c>
      <c r="DS104" s="31">
        <v>0.97647058823529409</v>
      </c>
      <c r="DT104" s="31">
        <v>0.98522167487684731</v>
      </c>
      <c r="DU104" s="31">
        <v>0.97872340425531912</v>
      </c>
      <c r="DV104" s="31">
        <v>0.98174290099850781</v>
      </c>
      <c r="DW104" s="31">
        <v>0.92890995260663511</v>
      </c>
      <c r="DX104" s="31">
        <v>0.965034965034965</v>
      </c>
      <c r="DY104" s="31">
        <v>0.93364928909952605</v>
      </c>
      <c r="DZ104" s="31">
        <v>0.94339622641509435</v>
      </c>
      <c r="EA104" s="31">
        <v>0.95734597156398105</v>
      </c>
      <c r="EB104" s="31">
        <v>0.9676674364896074</v>
      </c>
      <c r="EC104" s="31">
        <v>0.96519721577726214</v>
      </c>
      <c r="ED104" s="31">
        <v>0.95160015099815298</v>
      </c>
      <c r="EE104" s="31">
        <v>0.99278846153846156</v>
      </c>
      <c r="EF104" s="31">
        <v>0.99040767386091122</v>
      </c>
      <c r="EG104" s="31">
        <v>0.95662650602409638</v>
      </c>
      <c r="EH104" s="31">
        <v>0.95180722891566261</v>
      </c>
      <c r="EI104" s="31">
        <v>0.96852300242130751</v>
      </c>
      <c r="EJ104" s="31">
        <v>0.97872340425531912</v>
      </c>
      <c r="EK104" s="31">
        <v>0.96376811594202894</v>
      </c>
      <c r="EL104" s="31">
        <v>0.97180634185111248</v>
      </c>
    </row>
    <row r="105" spans="38:142" x14ac:dyDescent="0.35">
      <c r="AL105" s="19" t="s">
        <v>257</v>
      </c>
      <c r="AM105" s="31">
        <v>0.95522388059701491</v>
      </c>
      <c r="AN105" s="31">
        <v>0.96268656716417911</v>
      </c>
      <c r="AO105" s="31">
        <v>0.94972067039106145</v>
      </c>
      <c r="AP105" s="31">
        <v>0.92551210428305397</v>
      </c>
      <c r="AQ105" s="31">
        <v>0.95176252319109467</v>
      </c>
      <c r="AR105" s="31">
        <v>0.96834264432029793</v>
      </c>
      <c r="AS105" s="31">
        <v>0.97959183673469385</v>
      </c>
      <c r="AT105" s="31">
        <v>0.95612003238305643</v>
      </c>
      <c r="AU105" s="31">
        <v>0.94951456310679616</v>
      </c>
      <c r="AV105" s="31">
        <v>0.95903165735567975</v>
      </c>
      <c r="AW105" s="31">
        <v>0.95321637426900585</v>
      </c>
      <c r="AX105" s="31">
        <v>0.92578125</v>
      </c>
      <c r="AY105" s="31">
        <v>0.95903165735567975</v>
      </c>
      <c r="AZ105" s="31">
        <v>0.94990723562152135</v>
      </c>
      <c r="BA105" s="31">
        <v>0.95547309833024119</v>
      </c>
      <c r="BB105" s="31">
        <v>0.9502794051484178</v>
      </c>
      <c r="BC105" s="31">
        <v>0.94953271028037378</v>
      </c>
      <c r="BD105" s="31">
        <v>0.94205607476635511</v>
      </c>
      <c r="BE105" s="31">
        <v>0.95167286245353155</v>
      </c>
      <c r="BF105" s="31">
        <v>0.91635687732342008</v>
      </c>
      <c r="BG105" s="31">
        <v>0.9642857142857143</v>
      </c>
      <c r="BH105" s="31">
        <v>0.94548872180451127</v>
      </c>
      <c r="BI105" s="31">
        <v>0.94371482176360222</v>
      </c>
      <c r="BJ105" s="31">
        <v>0.94472968323964401</v>
      </c>
      <c r="BK105" s="31">
        <v>0.9375</v>
      </c>
      <c r="BL105" s="31">
        <v>0.96089385474860334</v>
      </c>
      <c r="BM105" s="31">
        <v>0.85283018867924532</v>
      </c>
      <c r="BN105" s="31">
        <v>0.86252354048964219</v>
      </c>
      <c r="BO105" s="31">
        <v>0.95887850467289715</v>
      </c>
      <c r="BP105" s="31">
        <v>0.95522388059701491</v>
      </c>
      <c r="BQ105" s="31">
        <v>0.97583643122676578</v>
      </c>
      <c r="BR105" s="31">
        <v>0.9290980572020241</v>
      </c>
      <c r="BS105" s="31">
        <v>0.93831775700934583</v>
      </c>
      <c r="BT105" s="31">
        <v>0.91871455576559546</v>
      </c>
      <c r="BU105" s="31">
        <v>0.96378269617706236</v>
      </c>
      <c r="BV105" s="31">
        <v>0.97535934291581106</v>
      </c>
      <c r="BW105" s="31">
        <v>0.9587242026266416</v>
      </c>
      <c r="BX105" s="31">
        <v>0.8996282527881041</v>
      </c>
      <c r="BY105" s="31">
        <v>0.93283582089552242</v>
      </c>
      <c r="BZ105" s="31">
        <v>0.94105180402544053</v>
      </c>
      <c r="CA105" s="31">
        <v>0.93506493506493504</v>
      </c>
      <c r="CB105" s="31">
        <v>0.95866141732283461</v>
      </c>
      <c r="CC105" s="31">
        <v>0.90590405904059046</v>
      </c>
      <c r="CD105" s="31">
        <v>0.92463235294117652</v>
      </c>
      <c r="CE105" s="31">
        <v>0.96132596685082872</v>
      </c>
      <c r="CF105" s="31">
        <v>0.94208494208494209</v>
      </c>
      <c r="CG105" s="31">
        <v>0.94795539033457255</v>
      </c>
      <c r="CH105" s="31">
        <v>0.93937558051998293</v>
      </c>
      <c r="CI105" s="31">
        <v>0.9424860853432282</v>
      </c>
      <c r="CJ105" s="31">
        <v>0.92265193370165743</v>
      </c>
      <c r="CK105" s="31">
        <v>0.91433891992551208</v>
      </c>
      <c r="CL105" s="31">
        <v>0.93854748603351956</v>
      </c>
      <c r="CM105" s="31">
        <v>0.93632958801498123</v>
      </c>
      <c r="CN105" s="31">
        <v>0.97588126159554733</v>
      </c>
      <c r="CO105" s="31">
        <v>0.94972067039106145</v>
      </c>
      <c r="CP105" s="31">
        <v>0.9399937064293582</v>
      </c>
      <c r="CQ105" s="31">
        <v>0.95437262357414454</v>
      </c>
      <c r="CR105" s="31">
        <v>0.97773654916512054</v>
      </c>
      <c r="CS105" s="31">
        <v>0.9828897338403042</v>
      </c>
      <c r="CT105" s="31">
        <v>0.97528517110266155</v>
      </c>
      <c r="CU105" s="31">
        <v>0.93482309124767227</v>
      </c>
      <c r="CV105" s="31">
        <v>0.96851851851851856</v>
      </c>
      <c r="CW105" s="31">
        <v>0.96247654784240155</v>
      </c>
      <c r="CX105" s="31">
        <v>0.96515746218440324</v>
      </c>
      <c r="CY105" s="31">
        <v>0.95910780669144979</v>
      </c>
      <c r="CZ105" s="31">
        <v>0.95652173913043481</v>
      </c>
      <c r="DA105" s="31">
        <v>0.94862385321100917</v>
      </c>
      <c r="DB105" s="31">
        <v>0.94423791821561343</v>
      </c>
      <c r="DC105" s="31">
        <v>0.94227188081936686</v>
      </c>
      <c r="DD105" s="31">
        <v>0.96408317580340264</v>
      </c>
      <c r="DE105" s="31">
        <v>0.95514018691588787</v>
      </c>
      <c r="DF105" s="31">
        <v>0.95285522296959491</v>
      </c>
      <c r="DG105" s="31">
        <v>0.96415094339622642</v>
      </c>
      <c r="DH105" s="31">
        <v>0.94565217391304346</v>
      </c>
      <c r="DI105" s="31">
        <v>0.94678899082568813</v>
      </c>
      <c r="DJ105" s="31">
        <v>0.95887850467289715</v>
      </c>
      <c r="DK105" s="31">
        <v>0.94954954954954951</v>
      </c>
      <c r="DL105" s="31">
        <v>0.97111913357400725</v>
      </c>
      <c r="DM105" s="31">
        <v>0.9622980251346499</v>
      </c>
      <c r="DN105" s="31">
        <v>0.95691961729515174</v>
      </c>
      <c r="DO105" s="31">
        <v>0.947069943289225</v>
      </c>
      <c r="DP105" s="31">
        <v>0.96635514018691593</v>
      </c>
      <c r="DQ105" s="31">
        <v>0.95085066162570886</v>
      </c>
      <c r="DR105" s="31">
        <v>0.95274102079395084</v>
      </c>
      <c r="DS105" s="31">
        <v>0.95121951219512191</v>
      </c>
      <c r="DT105" s="31">
        <v>0.96296296296296291</v>
      </c>
      <c r="DU105" s="31">
        <v>0.95539033457249067</v>
      </c>
      <c r="DV105" s="31">
        <v>0.95522708223233954</v>
      </c>
      <c r="DW105" s="31">
        <v>0.96014492753623193</v>
      </c>
      <c r="DX105" s="31">
        <v>0.967741935483871</v>
      </c>
      <c r="DY105" s="31">
        <v>0.95462794918330307</v>
      </c>
      <c r="DZ105" s="31">
        <v>0.92921960072595278</v>
      </c>
      <c r="EA105" s="31">
        <v>0.94881170018281535</v>
      </c>
      <c r="EB105" s="31">
        <v>0.95563770794824399</v>
      </c>
      <c r="EC105" s="31">
        <v>0.92700729927007297</v>
      </c>
      <c r="ED105" s="31">
        <v>0.94902730290435577</v>
      </c>
      <c r="EE105" s="31">
        <v>0.93272727272727274</v>
      </c>
      <c r="EF105" s="31">
        <v>0.9532374100719424</v>
      </c>
      <c r="EG105" s="31">
        <v>0.95454545454545459</v>
      </c>
      <c r="EH105" s="31">
        <v>0.9547920433996383</v>
      </c>
      <c r="EI105" s="31">
        <v>0.94171220400728595</v>
      </c>
      <c r="EJ105" s="31">
        <v>0.95721925133689845</v>
      </c>
      <c r="EK105" s="31">
        <v>0.95714285714285718</v>
      </c>
      <c r="EL105" s="31">
        <v>0.95019664189019271</v>
      </c>
    </row>
    <row r="106" spans="38:142" x14ac:dyDescent="0.35">
      <c r="AL106" s="19" t="s">
        <v>148</v>
      </c>
      <c r="AM106" s="31">
        <v>0.96</v>
      </c>
      <c r="AN106" s="31">
        <v>0.92170022371364657</v>
      </c>
      <c r="AO106" s="31">
        <v>0.94394618834080712</v>
      </c>
      <c r="AP106" s="31">
        <v>0.9282511210762332</v>
      </c>
      <c r="AQ106" s="31">
        <v>0.9553571428571429</v>
      </c>
      <c r="AR106" s="31">
        <v>0.92600896860986548</v>
      </c>
      <c r="AS106" s="31">
        <v>0.97309417040358748</v>
      </c>
      <c r="AT106" s="31">
        <v>0.94405111642875472</v>
      </c>
      <c r="AU106" s="31">
        <v>0.95414847161572047</v>
      </c>
      <c r="AV106" s="31">
        <v>0.93736017897091728</v>
      </c>
      <c r="AW106" s="31">
        <v>0.93859649122807021</v>
      </c>
      <c r="AX106" s="31">
        <v>0.91666666666666663</v>
      </c>
      <c r="AY106" s="31">
        <v>0.95394736842105265</v>
      </c>
      <c r="AZ106" s="31">
        <v>0.94394618834080712</v>
      </c>
      <c r="BA106" s="31">
        <v>0.95238095238095233</v>
      </c>
      <c r="BB106" s="31">
        <v>0.94243518823202677</v>
      </c>
      <c r="BC106" s="31">
        <v>0.91868131868131864</v>
      </c>
      <c r="BD106" s="31">
        <v>0.9366812227074236</v>
      </c>
      <c r="BE106" s="31">
        <v>0.87612612612612617</v>
      </c>
      <c r="BF106" s="31">
        <v>0.88366890380313201</v>
      </c>
      <c r="BG106" s="31">
        <v>0.91304347826086951</v>
      </c>
      <c r="BH106" s="31">
        <v>0.9518599562363238</v>
      </c>
      <c r="BI106" s="31">
        <v>0.91086956521739126</v>
      </c>
      <c r="BJ106" s="31">
        <v>0.91299008157608363</v>
      </c>
      <c r="BK106" s="31">
        <v>0.8549107142857143</v>
      </c>
      <c r="BL106" s="31">
        <v>0.92970521541950113</v>
      </c>
      <c r="BM106" s="31">
        <v>0.77111111111111108</v>
      </c>
      <c r="BN106" s="31">
        <v>0.79777777777777781</v>
      </c>
      <c r="BO106" s="31">
        <v>0.89140271493212675</v>
      </c>
      <c r="BP106" s="31">
        <v>0.92677345537757438</v>
      </c>
      <c r="BQ106" s="31">
        <v>0.92954545454545456</v>
      </c>
      <c r="BR106" s="31">
        <v>0.87160377763560859</v>
      </c>
      <c r="BS106" s="31">
        <v>0.94922737306843263</v>
      </c>
      <c r="BT106" s="31">
        <v>0.87443946188340804</v>
      </c>
      <c r="BU106" s="31">
        <v>0.8861607142857143</v>
      </c>
      <c r="BV106" s="31">
        <v>0.9441964285714286</v>
      </c>
      <c r="BW106" s="31">
        <v>0.9241071428571429</v>
      </c>
      <c r="BX106" s="31">
        <v>0.9308035714285714</v>
      </c>
      <c r="BY106" s="31">
        <v>0.9241071428571429</v>
      </c>
      <c r="BZ106" s="31">
        <v>0.91900597642169157</v>
      </c>
      <c r="CA106" s="31">
        <v>0.93807339449541283</v>
      </c>
      <c r="CB106" s="31">
        <v>0.93959731543624159</v>
      </c>
      <c r="CC106" s="31">
        <v>0.89414414414414412</v>
      </c>
      <c r="CD106" s="31">
        <v>0.94854586129753915</v>
      </c>
      <c r="CE106" s="31">
        <v>0.94104308390022673</v>
      </c>
      <c r="CF106" s="31">
        <v>0.92699115044247793</v>
      </c>
      <c r="CG106" s="31">
        <v>0.94701986754966883</v>
      </c>
      <c r="CH106" s="31">
        <v>0.93363068818081574</v>
      </c>
      <c r="CI106" s="31">
        <v>0.93764434180138567</v>
      </c>
      <c r="CJ106" s="31">
        <v>0.9572072072072072</v>
      </c>
      <c r="CK106" s="31">
        <v>0.95348837209302328</v>
      </c>
      <c r="CL106" s="31">
        <v>0.95011337868480727</v>
      </c>
      <c r="CM106" s="31">
        <v>0.93438914027149322</v>
      </c>
      <c r="CN106" s="31">
        <v>0.96839729119638829</v>
      </c>
      <c r="CO106" s="31">
        <v>0.95280898876404496</v>
      </c>
      <c r="CP106" s="31">
        <v>0.95057838857405008</v>
      </c>
      <c r="CQ106" s="31">
        <v>0.93018018018018023</v>
      </c>
      <c r="CR106" s="31">
        <v>0.95464852607709749</v>
      </c>
      <c r="CS106" s="31">
        <v>0.93807339449541283</v>
      </c>
      <c r="CT106" s="31">
        <v>0.91402714932126694</v>
      </c>
      <c r="CU106" s="31">
        <v>0.94618834080717484</v>
      </c>
      <c r="CV106" s="31">
        <v>0.95485327313769752</v>
      </c>
      <c r="CW106" s="31">
        <v>0.9419642857142857</v>
      </c>
      <c r="CX106" s="31">
        <v>0.93999073567615921</v>
      </c>
      <c r="CY106" s="31">
        <v>0.95787139689578715</v>
      </c>
      <c r="CZ106" s="31">
        <v>0.94394618834080712</v>
      </c>
      <c r="DA106" s="31">
        <v>0.92682926829268297</v>
      </c>
      <c r="DB106" s="31">
        <v>0.92904656319290468</v>
      </c>
      <c r="DC106" s="31">
        <v>0.94013303769401335</v>
      </c>
      <c r="DD106" s="31">
        <v>0.94888888888888889</v>
      </c>
      <c r="DE106" s="31">
        <v>0.9642857142857143</v>
      </c>
      <c r="DF106" s="31">
        <v>0.94442872251297127</v>
      </c>
      <c r="DG106" s="31">
        <v>0.90487238979118334</v>
      </c>
      <c r="DH106" s="31">
        <v>0.96118721461187218</v>
      </c>
      <c r="DI106" s="31">
        <v>0.88787185354691078</v>
      </c>
      <c r="DJ106" s="31">
        <v>0.93427230046948362</v>
      </c>
      <c r="DK106" s="31">
        <v>0.9</v>
      </c>
      <c r="DL106" s="31">
        <v>0.96196868008948544</v>
      </c>
      <c r="DM106" s="31">
        <v>0.90380313199105144</v>
      </c>
      <c r="DN106" s="31">
        <v>0.9219965100714268</v>
      </c>
      <c r="DO106" s="31">
        <v>0.91879350348027844</v>
      </c>
      <c r="DP106" s="31">
        <v>0.91156462585034015</v>
      </c>
      <c r="DQ106" s="31">
        <v>0.88812785388127857</v>
      </c>
      <c r="DR106" s="31">
        <v>0.83678160919540234</v>
      </c>
      <c r="DS106" s="31">
        <v>0.88532110091743121</v>
      </c>
      <c r="DT106" s="31">
        <v>0.91422121896162534</v>
      </c>
      <c r="DU106" s="31">
        <v>0.90639269406392697</v>
      </c>
      <c r="DV106" s="31">
        <v>0.89445751519289762</v>
      </c>
      <c r="DW106" s="31">
        <v>0.93453724604966137</v>
      </c>
      <c r="DX106" s="31">
        <v>0.94266055045871555</v>
      </c>
      <c r="DY106" s="31">
        <v>0.85553047404063209</v>
      </c>
      <c r="DZ106" s="31">
        <v>0.88713318284424381</v>
      </c>
      <c r="EA106" s="31">
        <v>0.93577981651376152</v>
      </c>
      <c r="EB106" s="31">
        <v>0.9632183908045977</v>
      </c>
      <c r="EC106" s="31">
        <v>0.9453302961275627</v>
      </c>
      <c r="ED106" s="31">
        <v>0.92345570811988231</v>
      </c>
      <c r="EE106" s="31">
        <v>0.9452054794520548</v>
      </c>
      <c r="EF106" s="31">
        <v>0.90519187358916475</v>
      </c>
      <c r="EG106" s="31">
        <v>0.90639269406392697</v>
      </c>
      <c r="EH106" s="31">
        <v>0.90067720090293457</v>
      </c>
      <c r="EI106" s="31">
        <v>0.95936794582392781</v>
      </c>
      <c r="EJ106" s="31">
        <v>0.94157303370786516</v>
      </c>
      <c r="EK106" s="31">
        <v>0.93227990970654628</v>
      </c>
      <c r="EL106" s="31">
        <v>0.9272411624637743</v>
      </c>
    </row>
    <row r="107" spans="38:142" x14ac:dyDescent="0.35">
      <c r="AL107" s="19" t="s">
        <v>149</v>
      </c>
      <c r="AM107" s="31">
        <v>0.90177514792899405</v>
      </c>
      <c r="AN107" s="31">
        <v>0.93222354340071345</v>
      </c>
      <c r="AO107" s="31">
        <v>0.89928909952606639</v>
      </c>
      <c r="AP107" s="31">
        <v>0.92408066429418745</v>
      </c>
      <c r="AQ107" s="31">
        <v>0.90758293838862558</v>
      </c>
      <c r="AR107" s="31">
        <v>0.92508917954815695</v>
      </c>
      <c r="AS107" s="31">
        <v>0.91587677725118488</v>
      </c>
      <c r="AT107" s="31">
        <v>0.91513105004827544</v>
      </c>
      <c r="AU107" s="31">
        <v>0.92680047225501772</v>
      </c>
      <c r="AV107" s="31">
        <v>0.96085409252669041</v>
      </c>
      <c r="AW107" s="31">
        <v>0.92244418331374856</v>
      </c>
      <c r="AX107" s="31">
        <v>0.9341176470588235</v>
      </c>
      <c r="AY107" s="31">
        <v>0.94705882352941173</v>
      </c>
      <c r="AZ107" s="31">
        <v>0.93882352941176472</v>
      </c>
      <c r="BA107" s="31">
        <v>0.93514150943396224</v>
      </c>
      <c r="BB107" s="31">
        <v>0.9378914653613456</v>
      </c>
      <c r="BC107" s="31">
        <v>0.95990566037735847</v>
      </c>
      <c r="BD107" s="31">
        <v>0.96226415094339623</v>
      </c>
      <c r="BE107" s="31">
        <v>0.93139534883720931</v>
      </c>
      <c r="BF107" s="31">
        <v>0.93612078977932633</v>
      </c>
      <c r="BG107" s="31">
        <v>0.92415402567094518</v>
      </c>
      <c r="BH107" s="31">
        <v>0.94352941176470584</v>
      </c>
      <c r="BI107" s="31">
        <v>0.93698949824970823</v>
      </c>
      <c r="BJ107" s="31">
        <v>0.94205126937466421</v>
      </c>
      <c r="BK107" s="31">
        <v>0.82730455075845977</v>
      </c>
      <c r="BL107" s="31">
        <v>0.94076655052264813</v>
      </c>
      <c r="BM107" s="31">
        <v>0.76833527357392317</v>
      </c>
      <c r="BN107" s="31">
        <v>0.78063010501750296</v>
      </c>
      <c r="BO107" s="31">
        <v>0.86395348837209307</v>
      </c>
      <c r="BP107" s="31">
        <v>0.90909090909090906</v>
      </c>
      <c r="BQ107" s="31">
        <v>0.8771929824561403</v>
      </c>
      <c r="BR107" s="31">
        <v>0.85246769425595381</v>
      </c>
      <c r="BS107" s="31">
        <v>0.85596221959858321</v>
      </c>
      <c r="BT107" s="31">
        <v>0.79322429906542058</v>
      </c>
      <c r="BU107" s="31">
        <v>0.83254716981132071</v>
      </c>
      <c r="BV107" s="31">
        <v>0.84751773049645385</v>
      </c>
      <c r="BW107" s="31">
        <v>0.8536299765807962</v>
      </c>
      <c r="BX107" s="31">
        <v>0.80818713450292401</v>
      </c>
      <c r="BY107" s="31">
        <v>0.84741784037558687</v>
      </c>
      <c r="BZ107" s="31">
        <v>0.83406948149015514</v>
      </c>
      <c r="CA107" s="31">
        <v>0.9064327485380117</v>
      </c>
      <c r="CB107" s="31">
        <v>0.86966824644549767</v>
      </c>
      <c r="CC107" s="31">
        <v>0.8867924528301887</v>
      </c>
      <c r="CD107" s="31">
        <v>0.91451990632318503</v>
      </c>
      <c r="CE107" s="31">
        <v>0.9309941520467836</v>
      </c>
      <c r="CF107" s="31">
        <v>0.87953216374269005</v>
      </c>
      <c r="CG107" s="31">
        <v>0.92244418331374856</v>
      </c>
      <c r="CH107" s="31">
        <v>0.90148340760572931</v>
      </c>
      <c r="CI107" s="31">
        <v>0.90919811320754718</v>
      </c>
      <c r="CJ107" s="31">
        <v>0.94262295081967218</v>
      </c>
      <c r="CK107" s="31">
        <v>0.95421686746987955</v>
      </c>
      <c r="CL107" s="31">
        <v>0.91511627906976745</v>
      </c>
      <c r="CM107" s="31">
        <v>0.90909090909090906</v>
      </c>
      <c r="CN107" s="31">
        <v>0.9061032863849765</v>
      </c>
      <c r="CO107" s="31">
        <v>0.90694935217903416</v>
      </c>
      <c r="CP107" s="31">
        <v>0.92047110831739798</v>
      </c>
      <c r="CQ107" s="31">
        <v>0.95857988165680474</v>
      </c>
      <c r="CR107" s="31">
        <v>0.95346062052505964</v>
      </c>
      <c r="CS107" s="31">
        <v>0.89268867924528306</v>
      </c>
      <c r="CT107" s="31">
        <v>0.913953488372093</v>
      </c>
      <c r="CU107" s="31">
        <v>0.94096812278630459</v>
      </c>
      <c r="CV107" s="31">
        <v>0.92772511848341233</v>
      </c>
      <c r="CW107" s="31">
        <v>0.95053003533568903</v>
      </c>
      <c r="CX107" s="31">
        <v>0.93398656377209222</v>
      </c>
      <c r="CY107" s="31">
        <v>0.92426035502958581</v>
      </c>
      <c r="CZ107" s="31">
        <v>0.95147928994082842</v>
      </c>
      <c r="DA107" s="31">
        <v>0.90621336459554513</v>
      </c>
      <c r="DB107" s="31">
        <v>0.913953488372093</v>
      </c>
      <c r="DC107" s="31">
        <v>0.89634864546525328</v>
      </c>
      <c r="DD107" s="31">
        <v>0.8867924528301887</v>
      </c>
      <c r="DE107" s="31">
        <v>0.89294117647058824</v>
      </c>
      <c r="DF107" s="31">
        <v>0.91028411038629742</v>
      </c>
      <c r="DG107" s="31">
        <v>0.90269636576787804</v>
      </c>
      <c r="DH107" s="31">
        <v>0.92558139534883721</v>
      </c>
      <c r="DI107" s="31">
        <v>0.87131050767414409</v>
      </c>
      <c r="DJ107" s="31">
        <v>0.88745603751465418</v>
      </c>
      <c r="DK107" s="31">
        <v>0.88078703703703709</v>
      </c>
      <c r="DL107" s="31">
        <v>0.90526315789473688</v>
      </c>
      <c r="DM107" s="31">
        <v>0.89812646370023419</v>
      </c>
      <c r="DN107" s="31">
        <v>0.89588870927678876</v>
      </c>
      <c r="DO107" s="31">
        <v>0.95518867924528306</v>
      </c>
      <c r="DP107" s="31">
        <v>0.92806603773584906</v>
      </c>
      <c r="DQ107" s="31">
        <v>0.92596944770857814</v>
      </c>
      <c r="DR107" s="31">
        <v>0.92974238875878223</v>
      </c>
      <c r="DS107" s="31">
        <v>0.93978748524203071</v>
      </c>
      <c r="DT107" s="31">
        <v>0.91943127962085303</v>
      </c>
      <c r="DU107" s="31">
        <v>0.9</v>
      </c>
      <c r="DV107" s="31">
        <v>0.92831218833019669</v>
      </c>
      <c r="DW107" s="31">
        <v>0.91676436107854631</v>
      </c>
      <c r="DX107" s="31">
        <v>0.94124559341950642</v>
      </c>
      <c r="DY107" s="31">
        <v>0.94248826291079812</v>
      </c>
      <c r="DZ107" s="31">
        <v>0.96331360946745559</v>
      </c>
      <c r="EA107" s="31">
        <v>0.9119718309859155</v>
      </c>
      <c r="EB107" s="31">
        <v>0.9320843091334895</v>
      </c>
      <c r="EC107" s="31">
        <v>0.95784543325526927</v>
      </c>
      <c r="ED107" s="31">
        <v>0.93795905717871153</v>
      </c>
      <c r="EE107" s="31">
        <v>0.91843971631205679</v>
      </c>
      <c r="EF107" s="31">
        <v>0.94096812278630459</v>
      </c>
      <c r="EG107" s="31">
        <v>0.91252955082742315</v>
      </c>
      <c r="EH107" s="31">
        <v>0.94569067296340026</v>
      </c>
      <c r="EI107" s="31">
        <v>0.93964497041420114</v>
      </c>
      <c r="EJ107" s="31">
        <v>0.92080378250591022</v>
      </c>
      <c r="EK107" s="31">
        <v>0.9372037914691943</v>
      </c>
      <c r="EL107" s="31">
        <v>0.9307543724683558</v>
      </c>
    </row>
    <row r="108" spans="38:142" x14ac:dyDescent="0.35">
      <c r="AL108" s="19" t="s">
        <v>150</v>
      </c>
      <c r="AM108" s="31">
        <v>0.94350282485875703</v>
      </c>
      <c r="AN108" s="31">
        <v>0.94929577464788728</v>
      </c>
      <c r="AO108" s="31">
        <v>0.94617563739376775</v>
      </c>
      <c r="AP108" s="31">
        <v>0.95303867403314912</v>
      </c>
      <c r="AQ108" s="31">
        <v>0.95492957746478868</v>
      </c>
      <c r="AR108" s="31">
        <v>0.9606741573033708</v>
      </c>
      <c r="AS108" s="31">
        <v>0.95492957746478868</v>
      </c>
      <c r="AT108" s="31">
        <v>0.95179231759521576</v>
      </c>
      <c r="AU108" s="31">
        <v>0.97413793103448276</v>
      </c>
      <c r="AV108" s="31">
        <v>0.95492957746478868</v>
      </c>
      <c r="AW108" s="31">
        <v>0.94492753623188408</v>
      </c>
      <c r="AX108" s="31">
        <v>0.94985250737463123</v>
      </c>
      <c r="AY108" s="31">
        <v>0.95677233429394815</v>
      </c>
      <c r="AZ108" s="31">
        <v>0.9606741573033708</v>
      </c>
      <c r="BA108" s="31">
        <v>0.95428571428571429</v>
      </c>
      <c r="BB108" s="31">
        <v>0.95651139399840279</v>
      </c>
      <c r="BC108" s="31">
        <v>0.92238805970149251</v>
      </c>
      <c r="BD108" s="31">
        <v>0.95882352941176474</v>
      </c>
      <c r="BE108" s="31">
        <v>0.8379204892966361</v>
      </c>
      <c r="BF108" s="31">
        <v>0.9242424242424242</v>
      </c>
      <c r="BG108" s="31">
        <v>0.93471810089020768</v>
      </c>
      <c r="BH108" s="31">
        <v>0.97023809523809523</v>
      </c>
      <c r="BI108" s="31">
        <v>0.95870206489675514</v>
      </c>
      <c r="BJ108" s="31">
        <v>0.9295761090967678</v>
      </c>
      <c r="BK108" s="31">
        <v>0.8814589665653495</v>
      </c>
      <c r="BL108" s="31">
        <v>0.94495412844036697</v>
      </c>
      <c r="BM108" s="31">
        <v>0.74643874643874641</v>
      </c>
      <c r="BN108" s="31">
        <v>0.84057971014492749</v>
      </c>
      <c r="BO108" s="31">
        <v>0.90030211480362543</v>
      </c>
      <c r="BP108" s="31">
        <v>0.94528875379939215</v>
      </c>
      <c r="BQ108" s="31">
        <v>0.9363636363636364</v>
      </c>
      <c r="BR108" s="31">
        <v>0.88505515093657772</v>
      </c>
      <c r="BS108" s="31">
        <v>0.9550561797752809</v>
      </c>
      <c r="BT108" s="31">
        <v>0.89398280802292263</v>
      </c>
      <c r="BU108" s="31">
        <v>0.92485549132947975</v>
      </c>
      <c r="BV108" s="31">
        <v>0.93895348837209303</v>
      </c>
      <c r="BW108" s="31">
        <v>0.95251396648044695</v>
      </c>
      <c r="BX108" s="31">
        <v>0.93371757925072041</v>
      </c>
      <c r="BY108" s="31">
        <v>0.95543175487465182</v>
      </c>
      <c r="BZ108" s="31">
        <v>0.93635875258651369</v>
      </c>
      <c r="CA108" s="31">
        <v>0.9250720461095101</v>
      </c>
      <c r="CB108" s="31">
        <v>0.92753623188405798</v>
      </c>
      <c r="CC108" s="31">
        <v>0.92711370262390669</v>
      </c>
      <c r="CD108" s="31">
        <v>0.91470588235294115</v>
      </c>
      <c r="CE108" s="31">
        <v>0.92836676217765046</v>
      </c>
      <c r="CF108" s="31">
        <v>0.9375</v>
      </c>
      <c r="CG108" s="31">
        <v>0.93732193732193736</v>
      </c>
      <c r="CH108" s="31">
        <v>0.92823093749571484</v>
      </c>
      <c r="CI108" s="31">
        <v>0.93123209169054444</v>
      </c>
      <c r="CJ108" s="31">
        <v>0.92690058479532167</v>
      </c>
      <c r="CK108" s="31">
        <v>0.91618497109826591</v>
      </c>
      <c r="CL108" s="31">
        <v>0.91594202898550725</v>
      </c>
      <c r="CM108" s="31">
        <v>0.9285714285714286</v>
      </c>
      <c r="CN108" s="31">
        <v>0.9464285714285714</v>
      </c>
      <c r="CO108" s="31">
        <v>0.94428152492668627</v>
      </c>
      <c r="CP108" s="31">
        <v>0.92993445735661795</v>
      </c>
      <c r="CQ108" s="31">
        <v>0.91208791208791207</v>
      </c>
      <c r="CR108" s="31">
        <v>0.93201133144475923</v>
      </c>
      <c r="CS108" s="31">
        <v>0.92663043478260865</v>
      </c>
      <c r="CT108" s="31">
        <v>0.94246575342465755</v>
      </c>
      <c r="CU108" s="31">
        <v>0.94929577464788728</v>
      </c>
      <c r="CV108" s="31">
        <v>0.93785310734463279</v>
      </c>
      <c r="CW108" s="31">
        <v>0.94929577464788728</v>
      </c>
      <c r="CX108" s="31">
        <v>0.93566286976862068</v>
      </c>
      <c r="CY108" s="31">
        <v>0.94054054054054059</v>
      </c>
      <c r="CZ108" s="31">
        <v>0.95108695652173914</v>
      </c>
      <c r="DA108" s="31">
        <v>0.9073569482288828</v>
      </c>
      <c r="DB108" s="31">
        <v>0.925414364640884</v>
      </c>
      <c r="DC108" s="31">
        <v>0.92432432432432432</v>
      </c>
      <c r="DD108" s="31">
        <v>0.9397260273972603</v>
      </c>
      <c r="DE108" s="31">
        <v>0.94444444444444442</v>
      </c>
      <c r="DF108" s="31">
        <v>0.93327051515686787</v>
      </c>
      <c r="DG108" s="31">
        <v>0.95945945945945943</v>
      </c>
      <c r="DH108" s="31">
        <v>0.95821727019498604</v>
      </c>
      <c r="DI108" s="31">
        <v>0.93956043956043955</v>
      </c>
      <c r="DJ108" s="31">
        <v>0.93548387096774188</v>
      </c>
      <c r="DK108" s="31">
        <v>0.94878706199460916</v>
      </c>
      <c r="DL108" s="31">
        <v>0.95604395604395609</v>
      </c>
      <c r="DM108" s="31">
        <v>0.95417789757412397</v>
      </c>
      <c r="DN108" s="31">
        <v>0.95024713654218806</v>
      </c>
      <c r="DO108" s="31">
        <v>0.93684210526315792</v>
      </c>
      <c r="DP108" s="31">
        <v>0.94933333333333336</v>
      </c>
      <c r="DQ108" s="31">
        <v>0.92105263157894735</v>
      </c>
      <c r="DR108" s="31">
        <v>0.92368421052631577</v>
      </c>
      <c r="DS108" s="31">
        <v>0.93351063829787229</v>
      </c>
      <c r="DT108" s="31">
        <v>0.95187165775401072</v>
      </c>
      <c r="DU108" s="31">
        <v>0.94133333333333336</v>
      </c>
      <c r="DV108" s="31">
        <v>0.93680398715528157</v>
      </c>
      <c r="DW108" s="31">
        <v>0.94037940379403795</v>
      </c>
      <c r="DX108" s="31">
        <v>0.93684210526315792</v>
      </c>
      <c r="DY108" s="31">
        <v>0.91351351351351351</v>
      </c>
      <c r="DZ108" s="31">
        <v>0.94550408719346046</v>
      </c>
      <c r="EA108" s="31">
        <v>0.93800539083557954</v>
      </c>
      <c r="EB108" s="31">
        <v>0.92553191489361697</v>
      </c>
      <c r="EC108" s="31">
        <v>0.93169398907103829</v>
      </c>
      <c r="ED108" s="31">
        <v>0.93306720065205784</v>
      </c>
      <c r="EE108" s="31">
        <v>0.95081967213114749</v>
      </c>
      <c r="EF108" s="31">
        <v>0.94070080862533689</v>
      </c>
      <c r="EG108" s="31">
        <v>0.90374331550802134</v>
      </c>
      <c r="EH108" s="31">
        <v>0.93029490616621979</v>
      </c>
      <c r="EI108" s="31">
        <v>0.94919786096256686</v>
      </c>
      <c r="EJ108" s="31">
        <v>0.93460490463215262</v>
      </c>
      <c r="EK108" s="31">
        <v>0.95342465753424654</v>
      </c>
      <c r="EL108" s="31">
        <v>0.93754087507995576</v>
      </c>
    </row>
    <row r="109" spans="38:142" x14ac:dyDescent="0.35">
      <c r="AL109" s="19" t="s">
        <v>151</v>
      </c>
      <c r="AM109" s="31">
        <v>0.93405511811023623</v>
      </c>
      <c r="AN109" s="31">
        <v>0.92842942345924451</v>
      </c>
      <c r="AO109" s="31">
        <v>0.90766208251473479</v>
      </c>
      <c r="AP109" s="31">
        <v>0.90702274975272013</v>
      </c>
      <c r="AQ109" s="31">
        <v>0.92430278884462147</v>
      </c>
      <c r="AR109" s="31">
        <v>0.91600790513833996</v>
      </c>
      <c r="AS109" s="31">
        <v>0.94263105835806138</v>
      </c>
      <c r="AT109" s="31">
        <v>0.92287301802542265</v>
      </c>
      <c r="AU109" s="31">
        <v>0.9566094853683148</v>
      </c>
      <c r="AV109" s="31">
        <v>0.91873141724479679</v>
      </c>
      <c r="AW109" s="31">
        <v>0.91733067729083662</v>
      </c>
      <c r="AX109" s="31">
        <v>0.9132602193419741</v>
      </c>
      <c r="AY109" s="31">
        <v>0.94246031746031744</v>
      </c>
      <c r="AZ109" s="31">
        <v>0.92507492507492506</v>
      </c>
      <c r="BA109" s="31">
        <v>0.93644488579940421</v>
      </c>
      <c r="BB109" s="31">
        <v>0.92998741822579556</v>
      </c>
      <c r="BC109" s="31">
        <v>0.92107892107892109</v>
      </c>
      <c r="BD109" s="31">
        <v>0.93233830845771148</v>
      </c>
      <c r="BE109" s="31">
        <v>0.90409590409590412</v>
      </c>
      <c r="BF109" s="31">
        <v>0.90567951318458417</v>
      </c>
      <c r="BG109" s="31">
        <v>0.90881458966565354</v>
      </c>
      <c r="BH109" s="31">
        <v>0.93414387031408308</v>
      </c>
      <c r="BI109" s="31">
        <v>0.93191056910569103</v>
      </c>
      <c r="BJ109" s="31">
        <v>0.91972309655750695</v>
      </c>
      <c r="BK109" s="31">
        <v>0.86391752577319592</v>
      </c>
      <c r="BL109" s="31">
        <v>0.92004048582995956</v>
      </c>
      <c r="BM109" s="31">
        <v>0.77510460251046021</v>
      </c>
      <c r="BN109" s="31">
        <v>0.80208333333333337</v>
      </c>
      <c r="BO109" s="31">
        <v>0.88580246913580252</v>
      </c>
      <c r="BP109" s="31">
        <v>0.9110889110889111</v>
      </c>
      <c r="BQ109" s="31">
        <v>0.89989785495403474</v>
      </c>
      <c r="BR109" s="31">
        <v>0.86541931180367104</v>
      </c>
      <c r="BS109" s="31">
        <v>0.89866939611054253</v>
      </c>
      <c r="BT109" s="31">
        <v>0.84079084287200834</v>
      </c>
      <c r="BU109" s="31">
        <v>0.88095238095238093</v>
      </c>
      <c r="BV109" s="31">
        <v>0.90871369294605808</v>
      </c>
      <c r="BW109" s="31">
        <v>0.90602655771195095</v>
      </c>
      <c r="BX109" s="31">
        <v>0.84336099585062241</v>
      </c>
      <c r="BY109" s="31">
        <v>0.88692946058091282</v>
      </c>
      <c r="BZ109" s="31">
        <v>0.8807776181463538</v>
      </c>
      <c r="CA109" s="31">
        <v>0.91532258064516125</v>
      </c>
      <c r="CB109" s="31">
        <v>0.89473684210526316</v>
      </c>
      <c r="CC109" s="31">
        <v>0.9045643153526971</v>
      </c>
      <c r="CD109" s="31">
        <v>0.89683350357507663</v>
      </c>
      <c r="CE109" s="31">
        <v>0.9110889110889111</v>
      </c>
      <c r="CF109" s="31">
        <v>0.92230070635721495</v>
      </c>
      <c r="CG109" s="31">
        <v>0.92936427850655901</v>
      </c>
      <c r="CH109" s="31">
        <v>0.91060159109012617</v>
      </c>
      <c r="CI109" s="31">
        <v>0.90471414242728188</v>
      </c>
      <c r="CJ109" s="31">
        <v>0.92182741116751266</v>
      </c>
      <c r="CK109" s="31">
        <v>0.90129611166500501</v>
      </c>
      <c r="CL109" s="31">
        <v>0.89400000000000002</v>
      </c>
      <c r="CM109" s="31">
        <v>0.89216683621566628</v>
      </c>
      <c r="CN109" s="31">
        <v>0.91516966067864269</v>
      </c>
      <c r="CO109" s="31">
        <v>0.91251271617497454</v>
      </c>
      <c r="CP109" s="31">
        <v>0.9059552683327261</v>
      </c>
      <c r="CQ109" s="31">
        <v>0.92878338278931749</v>
      </c>
      <c r="CR109" s="31">
        <v>0.92828685258964139</v>
      </c>
      <c r="CS109" s="31">
        <v>0.8951048951048951</v>
      </c>
      <c r="CT109" s="31">
        <v>0.89779559118236474</v>
      </c>
      <c r="CU109" s="31">
        <v>0.94641051567239631</v>
      </c>
      <c r="CV109" s="31">
        <v>0.93134328358208951</v>
      </c>
      <c r="CW109" s="31">
        <v>0.93718843469591229</v>
      </c>
      <c r="CX109" s="31">
        <v>0.92355899365951666</v>
      </c>
      <c r="CY109" s="31">
        <v>0.91122448979591841</v>
      </c>
      <c r="CZ109" s="31">
        <v>0.90239043824701193</v>
      </c>
      <c r="DA109" s="31">
        <v>0.89036885245901642</v>
      </c>
      <c r="DB109" s="31">
        <v>0.89081632653061227</v>
      </c>
      <c r="DC109" s="31">
        <v>0.90251256281407033</v>
      </c>
      <c r="DD109" s="31">
        <v>0.9119119119119119</v>
      </c>
      <c r="DE109" s="31">
        <v>0.90505050505050511</v>
      </c>
      <c r="DF109" s="31">
        <v>0.90203929811557804</v>
      </c>
      <c r="DG109" s="31">
        <v>0.93299492385786797</v>
      </c>
      <c r="DH109" s="31">
        <v>0.92603850050658565</v>
      </c>
      <c r="DI109" s="31">
        <v>0.91497975708502022</v>
      </c>
      <c r="DJ109" s="31">
        <v>0.90394337714863493</v>
      </c>
      <c r="DK109" s="31">
        <v>0.92012133468149648</v>
      </c>
      <c r="DL109" s="31">
        <v>0.91414141414141414</v>
      </c>
      <c r="DM109" s="31">
        <v>0.92741935483870963</v>
      </c>
      <c r="DN109" s="31">
        <v>0.91994838032281845</v>
      </c>
      <c r="DO109" s="31">
        <v>0.89773844641101275</v>
      </c>
      <c r="DP109" s="31">
        <v>0.91135458167330674</v>
      </c>
      <c r="DQ109" s="31">
        <v>0.8997995991983968</v>
      </c>
      <c r="DR109" s="31">
        <v>0.89235412474849096</v>
      </c>
      <c r="DS109" s="31">
        <v>0.90686274509803921</v>
      </c>
      <c r="DT109" s="31">
        <v>0.9110889110889111</v>
      </c>
      <c r="DU109" s="31">
        <v>0.88331726133076183</v>
      </c>
      <c r="DV109" s="31">
        <v>0.90035938136413129</v>
      </c>
      <c r="DW109" s="31">
        <v>0.90466926070038911</v>
      </c>
      <c r="DX109" s="31">
        <v>0.89457831325301207</v>
      </c>
      <c r="DY109" s="31">
        <v>0.88944723618090449</v>
      </c>
      <c r="DZ109" s="31">
        <v>0.905241935483871</v>
      </c>
      <c r="EA109" s="31">
        <v>0.9218595450049456</v>
      </c>
      <c r="EB109" s="31">
        <v>0.89949748743718594</v>
      </c>
      <c r="EC109" s="31">
        <v>0.9128712871287129</v>
      </c>
      <c r="ED109" s="31">
        <v>0.90402358074128875</v>
      </c>
      <c r="EE109" s="31">
        <v>0.89516129032258063</v>
      </c>
      <c r="EF109" s="31">
        <v>0.9178356713426854</v>
      </c>
      <c r="EG109" s="31">
        <v>0.89708939708939706</v>
      </c>
      <c r="EH109" s="31">
        <v>0.89005235602094246</v>
      </c>
      <c r="EI109" s="31">
        <v>0.90643863179074446</v>
      </c>
      <c r="EJ109" s="31">
        <v>0.93793793793793789</v>
      </c>
      <c r="EK109" s="31">
        <v>0.93681043129388164</v>
      </c>
      <c r="EL109" s="31">
        <v>0.91161795939973866</v>
      </c>
    </row>
    <row r="110" spans="38:142" x14ac:dyDescent="0.35">
      <c r="AL110" s="19" t="s">
        <v>152</v>
      </c>
      <c r="AM110" s="31">
        <v>0.95352839931153188</v>
      </c>
      <c r="AN110" s="31">
        <v>0.94774774774774773</v>
      </c>
      <c r="AO110" s="31">
        <v>0.9731182795698925</v>
      </c>
      <c r="AP110" s="31">
        <v>0.97272727272727277</v>
      </c>
      <c r="AQ110" s="31">
        <v>0.96482412060301503</v>
      </c>
      <c r="AR110" s="31">
        <v>0.96119929453262787</v>
      </c>
      <c r="AS110" s="31">
        <v>0.97723292469352019</v>
      </c>
      <c r="AT110" s="31">
        <v>0.9643397198836583</v>
      </c>
      <c r="AU110" s="31">
        <v>0.95438596491228067</v>
      </c>
      <c r="AV110" s="31">
        <v>0.94805194805194803</v>
      </c>
      <c r="AW110" s="31">
        <v>0.96739130434782605</v>
      </c>
      <c r="AX110" s="31">
        <v>0.97307001795332138</v>
      </c>
      <c r="AY110" s="31">
        <v>0.97746967071057189</v>
      </c>
      <c r="AZ110" s="31">
        <v>0.96289752650176674</v>
      </c>
      <c r="BA110" s="31">
        <v>0.96050269299820468</v>
      </c>
      <c r="BB110" s="31">
        <v>0.96339558935370284</v>
      </c>
      <c r="BC110" s="31">
        <v>0.94871794871794868</v>
      </c>
      <c r="BD110" s="31">
        <v>0.94698354661791595</v>
      </c>
      <c r="BE110" s="31">
        <v>0.94981412639405205</v>
      </c>
      <c r="BF110" s="31">
        <v>0.95777351247600773</v>
      </c>
      <c r="BG110" s="31">
        <v>0.98148148148148151</v>
      </c>
      <c r="BH110" s="31">
        <v>0.95221238938053099</v>
      </c>
      <c r="BI110" s="31">
        <v>0.96733212341197827</v>
      </c>
      <c r="BJ110" s="31">
        <v>0.95775930406855925</v>
      </c>
      <c r="BK110" s="31">
        <v>0.93073593073593075</v>
      </c>
      <c r="BL110" s="31">
        <v>0.95761078998073212</v>
      </c>
      <c r="BM110" s="31">
        <v>0.87317073170731707</v>
      </c>
      <c r="BN110" s="31">
        <v>0.86198547215496368</v>
      </c>
      <c r="BO110" s="31">
        <v>0.93027888446215135</v>
      </c>
      <c r="BP110" s="31">
        <v>0.94807692307692304</v>
      </c>
      <c r="BQ110" s="31">
        <v>0.94466403162055335</v>
      </c>
      <c r="BR110" s="31">
        <v>0.92093182339122437</v>
      </c>
      <c r="BS110" s="31">
        <v>0.92944038929440387</v>
      </c>
      <c r="BT110" s="31">
        <v>0.8623188405797102</v>
      </c>
      <c r="BU110" s="31">
        <v>0.93333333333333335</v>
      </c>
      <c r="BV110" s="31">
        <v>0.94444444444444442</v>
      </c>
      <c r="BW110" s="31">
        <v>0.94484412470023982</v>
      </c>
      <c r="BX110" s="31">
        <v>0.92151898734177218</v>
      </c>
      <c r="BY110" s="31">
        <v>0.92574257425742579</v>
      </c>
      <c r="BZ110" s="31">
        <v>0.9230918134216185</v>
      </c>
      <c r="CA110" s="31">
        <v>0.94323144104803491</v>
      </c>
      <c r="CB110" s="31">
        <v>0.96325459317585305</v>
      </c>
      <c r="CC110" s="31">
        <v>0.93933054393305437</v>
      </c>
      <c r="CD110" s="31">
        <v>0.95053763440860217</v>
      </c>
      <c r="CE110" s="31">
        <v>0.94577006507592187</v>
      </c>
      <c r="CF110" s="31">
        <v>0.92807424593967514</v>
      </c>
      <c r="CG110" s="31">
        <v>0.94026548672566368</v>
      </c>
      <c r="CH110" s="31">
        <v>0.94435200147240084</v>
      </c>
      <c r="CI110" s="31">
        <v>0.96537678207739308</v>
      </c>
      <c r="CJ110" s="31">
        <v>0.94780793319415446</v>
      </c>
      <c r="CK110" s="31">
        <v>0.98294243070362475</v>
      </c>
      <c r="CL110" s="31">
        <v>0.98026315789473684</v>
      </c>
      <c r="CM110" s="31">
        <v>0.96288659793814435</v>
      </c>
      <c r="CN110" s="31">
        <v>0.96146044624746452</v>
      </c>
      <c r="CO110" s="31">
        <v>0.96058091286307057</v>
      </c>
      <c r="CP110" s="31">
        <v>0.96590260870265554</v>
      </c>
      <c r="CQ110" s="31">
        <v>0.97165991902834004</v>
      </c>
      <c r="CR110" s="31">
        <v>0.97488584474885842</v>
      </c>
      <c r="CS110" s="31">
        <v>0.9476861167002012</v>
      </c>
      <c r="CT110" s="31">
        <v>0.94354838709677424</v>
      </c>
      <c r="CU110" s="31">
        <v>0.95959595959595956</v>
      </c>
      <c r="CV110" s="31">
        <v>0.9603340292275574</v>
      </c>
      <c r="CW110" s="31">
        <v>0.96754563894523327</v>
      </c>
      <c r="CX110" s="31">
        <v>0.96075084219184625</v>
      </c>
      <c r="CY110" s="31">
        <v>0.95768025078369901</v>
      </c>
      <c r="CZ110" s="31">
        <v>0.95815899581589958</v>
      </c>
      <c r="DA110" s="31">
        <v>0.98248407643312097</v>
      </c>
      <c r="DB110" s="31">
        <v>0.96325878594249204</v>
      </c>
      <c r="DC110" s="31">
        <v>0.96988906497622818</v>
      </c>
      <c r="DD110" s="31">
        <v>0.94589552238805974</v>
      </c>
      <c r="DE110" s="31">
        <v>0.96895424836601307</v>
      </c>
      <c r="DF110" s="31">
        <v>0.96376013495793045</v>
      </c>
      <c r="DG110" s="31">
        <v>0.97952755905511812</v>
      </c>
      <c r="DH110" s="31">
        <v>0.97560975609756095</v>
      </c>
      <c r="DI110" s="31">
        <v>0.9788617886178862</v>
      </c>
      <c r="DJ110" s="31">
        <v>0.96006655574043265</v>
      </c>
      <c r="DK110" s="31">
        <v>0.98217179902755269</v>
      </c>
      <c r="DL110" s="31">
        <v>0.96578538102643852</v>
      </c>
      <c r="DM110" s="31">
        <v>0.995</v>
      </c>
      <c r="DN110" s="31">
        <v>0.97671754850928416</v>
      </c>
      <c r="DO110" s="31">
        <v>0.96394984326018807</v>
      </c>
      <c r="DP110" s="31">
        <v>0.96735395189003437</v>
      </c>
      <c r="DQ110" s="31">
        <v>0.970873786407767</v>
      </c>
      <c r="DR110" s="31">
        <v>0.9584717607973422</v>
      </c>
      <c r="DS110" s="31">
        <v>0.97607655502392343</v>
      </c>
      <c r="DT110" s="31">
        <v>0.98336106489184694</v>
      </c>
      <c r="DU110" s="31">
        <v>0.97381342062193121</v>
      </c>
      <c r="DV110" s="31">
        <v>0.97055719755614756</v>
      </c>
      <c r="DW110" s="31">
        <v>0.94603709949409776</v>
      </c>
      <c r="DX110" s="31">
        <v>0.95206611570247934</v>
      </c>
      <c r="DY110" s="31">
        <v>0.93709677419354842</v>
      </c>
      <c r="DZ110" s="31">
        <v>0.92295081967213111</v>
      </c>
      <c r="EA110" s="31">
        <v>0.95799676898222941</v>
      </c>
      <c r="EB110" s="31">
        <v>0.92803030303030298</v>
      </c>
      <c r="EC110" s="31">
        <v>0.970873786407767</v>
      </c>
      <c r="ED110" s="31">
        <v>0.94500738106893656</v>
      </c>
      <c r="EE110" s="31">
        <v>0.94117647058823528</v>
      </c>
      <c r="EF110" s="31">
        <v>0.94378194207836452</v>
      </c>
      <c r="EG110" s="31">
        <v>0.946031746031746</v>
      </c>
      <c r="EH110" s="31">
        <v>0.90836012861736337</v>
      </c>
      <c r="EI110" s="31">
        <v>0.97557003257328989</v>
      </c>
      <c r="EJ110" s="31">
        <v>0.96518987341772156</v>
      </c>
      <c r="EK110" s="31">
        <v>0.97398373983739839</v>
      </c>
      <c r="EL110" s="31">
        <v>0.95058484759201689</v>
      </c>
    </row>
    <row r="111" spans="38:142" x14ac:dyDescent="0.35">
      <c r="AL111" s="19" t="s">
        <v>153</v>
      </c>
      <c r="AM111" s="31">
        <v>0.96472831267874171</v>
      </c>
      <c r="AN111" s="31">
        <v>0.91730038022813687</v>
      </c>
      <c r="AO111" s="31">
        <v>0.94380952380952376</v>
      </c>
      <c r="AP111" s="31">
        <v>0.94802694898941287</v>
      </c>
      <c r="AQ111" s="31">
        <v>0.95128939828080228</v>
      </c>
      <c r="AR111" s="31">
        <v>0.92030360531309297</v>
      </c>
      <c r="AS111" s="31">
        <v>0.93403441682600385</v>
      </c>
      <c r="AT111" s="31">
        <v>0.93992751230367344</v>
      </c>
      <c r="AU111" s="31">
        <v>0.95089707271010382</v>
      </c>
      <c r="AV111" s="31">
        <v>0.95540796963946872</v>
      </c>
      <c r="AW111" s="31">
        <v>0.93113207547169807</v>
      </c>
      <c r="AX111" s="31">
        <v>0.9485224022878932</v>
      </c>
      <c r="AY111" s="31">
        <v>0.94150943396226416</v>
      </c>
      <c r="AZ111" s="31">
        <v>0.97145575642245485</v>
      </c>
      <c r="BA111" s="31">
        <v>0.95260663507109</v>
      </c>
      <c r="BB111" s="31">
        <v>0.95021876365213909</v>
      </c>
      <c r="BC111" s="31">
        <v>0.94686907020872868</v>
      </c>
      <c r="BD111" s="31">
        <v>0.94637817497648169</v>
      </c>
      <c r="BE111" s="31">
        <v>0.93080568720379142</v>
      </c>
      <c r="BF111" s="31">
        <v>0.92802303262955854</v>
      </c>
      <c r="BG111" s="31">
        <v>0.95852968897266733</v>
      </c>
      <c r="BH111" s="31">
        <v>0.97570093457943929</v>
      </c>
      <c r="BI111" s="31">
        <v>0.95595126522961571</v>
      </c>
      <c r="BJ111" s="31">
        <v>0.94889397911432616</v>
      </c>
      <c r="BK111" s="31">
        <v>0.88778550148957303</v>
      </c>
      <c r="BL111" s="31">
        <v>0.95593869731800762</v>
      </c>
      <c r="BM111" s="31">
        <v>0.75575575575575571</v>
      </c>
      <c r="BN111" s="31">
        <v>0.79958890030832475</v>
      </c>
      <c r="BO111" s="31">
        <v>0.90998043052837574</v>
      </c>
      <c r="BP111" s="31">
        <v>0.93637226970560306</v>
      </c>
      <c r="BQ111" s="31">
        <v>0.94015444015444016</v>
      </c>
      <c r="BR111" s="31">
        <v>0.8836537136085828</v>
      </c>
      <c r="BS111" s="31">
        <v>0.92603550295857984</v>
      </c>
      <c r="BT111" s="31">
        <v>0.85112936344969203</v>
      </c>
      <c r="BU111" s="31">
        <v>0.905811623246493</v>
      </c>
      <c r="BV111" s="31">
        <v>0.91625615763546797</v>
      </c>
      <c r="BW111" s="31">
        <v>0.92425695110258865</v>
      </c>
      <c r="BX111" s="31">
        <v>0.89151873767258383</v>
      </c>
      <c r="BY111" s="31">
        <v>0.91448007774538387</v>
      </c>
      <c r="BZ111" s="31">
        <v>0.90421263054439849</v>
      </c>
      <c r="CA111" s="31">
        <v>0.93370681605975725</v>
      </c>
      <c r="CB111" s="31">
        <v>0.92704280155642027</v>
      </c>
      <c r="CC111" s="31">
        <v>0.87666034155597727</v>
      </c>
      <c r="CD111" s="31">
        <v>0.89825581395348841</v>
      </c>
      <c r="CE111" s="31">
        <v>0.93890977443609025</v>
      </c>
      <c r="CF111" s="31">
        <v>0.9433237271853987</v>
      </c>
      <c r="CG111" s="31">
        <v>0.94656488549618323</v>
      </c>
      <c r="CH111" s="31">
        <v>0.92349488003475944</v>
      </c>
      <c r="CI111" s="31">
        <v>0.95681381957773515</v>
      </c>
      <c r="CJ111" s="31">
        <v>0.8953377735490009</v>
      </c>
      <c r="CK111" s="31">
        <v>0.93143976493633696</v>
      </c>
      <c r="CL111" s="31">
        <v>0.93150684931506844</v>
      </c>
      <c r="CM111" s="31">
        <v>0.96555023923444971</v>
      </c>
      <c r="CN111" s="31">
        <v>0.93631178707224338</v>
      </c>
      <c r="CO111" s="31">
        <v>0.95489443378118999</v>
      </c>
      <c r="CP111" s="31">
        <v>0.93883638106657497</v>
      </c>
      <c r="CQ111" s="31">
        <v>0.92620624408703878</v>
      </c>
      <c r="CR111" s="31">
        <v>0.9549461312438785</v>
      </c>
      <c r="CS111" s="31">
        <v>0.89815712900096989</v>
      </c>
      <c r="CT111" s="31">
        <v>0.90970873786407769</v>
      </c>
      <c r="CU111" s="31">
        <v>0.94819159335288372</v>
      </c>
      <c r="CV111" s="31">
        <v>0.95112414467253181</v>
      </c>
      <c r="CW111" s="31">
        <v>0.91198501872659177</v>
      </c>
      <c r="CX111" s="31">
        <v>0.92861699984971036</v>
      </c>
      <c r="CY111" s="31">
        <v>0.93965517241379315</v>
      </c>
      <c r="CZ111" s="31">
        <v>0.90960989533777359</v>
      </c>
      <c r="DA111" s="31">
        <v>0.89587242026266412</v>
      </c>
      <c r="DB111" s="31">
        <v>0.8995215311004785</v>
      </c>
      <c r="DC111" s="31">
        <v>0.92775665399239549</v>
      </c>
      <c r="DD111" s="31">
        <v>0.92358490566037732</v>
      </c>
      <c r="DE111" s="31">
        <v>0.93396226415094341</v>
      </c>
      <c r="DF111" s="31">
        <v>0.91856612041691788</v>
      </c>
      <c r="DG111" s="31">
        <v>0.9270142180094787</v>
      </c>
      <c r="DH111" s="31">
        <v>0.91603053435114501</v>
      </c>
      <c r="DI111" s="31">
        <v>0.91627469426152397</v>
      </c>
      <c r="DJ111" s="31">
        <v>0.93685202639019793</v>
      </c>
      <c r="DK111" s="31">
        <v>0.92823418319169027</v>
      </c>
      <c r="DL111" s="31">
        <v>0.93113207547169807</v>
      </c>
      <c r="DM111" s="31">
        <v>0.95114942528735635</v>
      </c>
      <c r="DN111" s="31">
        <v>0.92952673670901287</v>
      </c>
      <c r="DO111" s="31">
        <v>0.9526462395543176</v>
      </c>
      <c r="DP111" s="31">
        <v>0.95750708215297453</v>
      </c>
      <c r="DQ111" s="31">
        <v>0.93139097744360899</v>
      </c>
      <c r="DR111" s="31">
        <v>0.91863765373699147</v>
      </c>
      <c r="DS111" s="31">
        <v>0.97572362278244629</v>
      </c>
      <c r="DT111" s="31">
        <v>0.95944700460829491</v>
      </c>
      <c r="DU111" s="31">
        <v>0.96196660482374763</v>
      </c>
      <c r="DV111" s="31">
        <v>0.95104559787176879</v>
      </c>
      <c r="DW111" s="31">
        <v>0.95300751879699253</v>
      </c>
      <c r="DX111" s="31">
        <v>0.93283582089552242</v>
      </c>
      <c r="DY111" s="31">
        <v>0.93908153701968133</v>
      </c>
      <c r="DZ111" s="31">
        <v>0.92809204218600194</v>
      </c>
      <c r="EA111" s="31">
        <v>0.97034291010194629</v>
      </c>
      <c r="EB111" s="31">
        <v>0.96164639850327405</v>
      </c>
      <c r="EC111" s="31">
        <v>0.97037037037037033</v>
      </c>
      <c r="ED111" s="31">
        <v>0.95076808541054114</v>
      </c>
      <c r="EE111" s="31">
        <v>0.93007662835249039</v>
      </c>
      <c r="EF111" s="31">
        <v>0.94766888677450045</v>
      </c>
      <c r="EG111" s="31">
        <v>0.91066282420749278</v>
      </c>
      <c r="EH111" s="31">
        <v>0.90795781399808251</v>
      </c>
      <c r="EI111" s="31">
        <v>0.92401500938086301</v>
      </c>
      <c r="EJ111" s="31">
        <v>0.95484477892756348</v>
      </c>
      <c r="EK111" s="31">
        <v>0.95758718190386427</v>
      </c>
      <c r="EL111" s="31">
        <v>0.93325901764926533</v>
      </c>
    </row>
    <row r="112" spans="38:142" x14ac:dyDescent="0.35">
      <c r="AL112" s="19" t="s">
        <v>154</v>
      </c>
      <c r="AM112" s="31">
        <v>0.94799344799344798</v>
      </c>
      <c r="AN112" s="31">
        <v>0.95903318312167141</v>
      </c>
      <c r="AO112" s="31">
        <v>0.94362139917695476</v>
      </c>
      <c r="AP112" s="31">
        <v>0.94183168316831678</v>
      </c>
      <c r="AQ112" s="31">
        <v>0.96049382716049381</v>
      </c>
      <c r="AR112" s="31">
        <v>0.96100164203612481</v>
      </c>
      <c r="AS112" s="31">
        <v>0.97006970069700693</v>
      </c>
      <c r="AT112" s="31">
        <v>0.95486355476485962</v>
      </c>
      <c r="AU112" s="31">
        <v>0.95043370508054525</v>
      </c>
      <c r="AV112" s="31">
        <v>0.95482546201232033</v>
      </c>
      <c r="AW112" s="31">
        <v>0.94437525944375256</v>
      </c>
      <c r="AX112" s="31">
        <v>0.95085381091211996</v>
      </c>
      <c r="AY112" s="31">
        <v>0.95881863560732117</v>
      </c>
      <c r="AZ112" s="31">
        <v>0.95922570016474462</v>
      </c>
      <c r="BA112" s="31">
        <v>0.96396023198011604</v>
      </c>
      <c r="BB112" s="31">
        <v>0.9546418293144171</v>
      </c>
      <c r="BC112" s="31">
        <v>0.93786246893123448</v>
      </c>
      <c r="BD112" s="31">
        <v>0.94927234927234927</v>
      </c>
      <c r="BE112" s="31">
        <v>0.92457521757148775</v>
      </c>
      <c r="BF112" s="31">
        <v>0.92783077561177929</v>
      </c>
      <c r="BG112" s="31">
        <v>0.95002099958000841</v>
      </c>
      <c r="BH112" s="31">
        <v>0.96288573811509592</v>
      </c>
      <c r="BI112" s="31">
        <v>0.96437552388935455</v>
      </c>
      <c r="BJ112" s="31">
        <v>0.9452604389959014</v>
      </c>
      <c r="BK112" s="31">
        <v>0.89272349272349272</v>
      </c>
      <c r="BL112" s="31">
        <v>0.92933884297520664</v>
      </c>
      <c r="BM112" s="31">
        <v>0.79288025889967639</v>
      </c>
      <c r="BN112" s="31">
        <v>0.86430155210643012</v>
      </c>
      <c r="BO112" s="31">
        <v>0.92112909921129105</v>
      </c>
      <c r="BP112" s="31">
        <v>0.93083573487031701</v>
      </c>
      <c r="BQ112" s="31">
        <v>0.93755135579293347</v>
      </c>
      <c r="BR112" s="31">
        <v>0.89553719093990669</v>
      </c>
      <c r="BS112" s="31">
        <v>0.93796526054590568</v>
      </c>
      <c r="BT112" s="31">
        <v>0.86401673640167365</v>
      </c>
      <c r="BU112" s="31">
        <v>0.92974337400084139</v>
      </c>
      <c r="BV112" s="31">
        <v>0.92323913960354276</v>
      </c>
      <c r="BW112" s="31">
        <v>0.94350515463917528</v>
      </c>
      <c r="BX112" s="31">
        <v>0.88577319587628867</v>
      </c>
      <c r="BY112" s="31">
        <v>0.90987654320987654</v>
      </c>
      <c r="BZ112" s="31">
        <v>0.91344562918247196</v>
      </c>
      <c r="CA112" s="31">
        <v>0.94619205298013243</v>
      </c>
      <c r="CB112" s="31">
        <v>0.93884436946436101</v>
      </c>
      <c r="CC112" s="31">
        <v>0.93153526970954359</v>
      </c>
      <c r="CD112" s="31">
        <v>0.96136269214790193</v>
      </c>
      <c r="CE112" s="31">
        <v>0.95874587458745875</v>
      </c>
      <c r="CF112" s="31">
        <v>0.95356550580431176</v>
      </c>
      <c r="CG112" s="31">
        <v>0.96624125154384521</v>
      </c>
      <c r="CH112" s="31">
        <v>0.95092671660536499</v>
      </c>
      <c r="CI112" s="31">
        <v>0.9429879317519767</v>
      </c>
      <c r="CJ112" s="31">
        <v>0.94187963726298429</v>
      </c>
      <c r="CK112" s="31">
        <v>0.92830501450476588</v>
      </c>
      <c r="CL112" s="31">
        <v>0.91425020712510352</v>
      </c>
      <c r="CM112" s="31">
        <v>0.94908940397350994</v>
      </c>
      <c r="CN112" s="31">
        <v>0.95028997514498759</v>
      </c>
      <c r="CO112" s="31">
        <v>0.95244003308519443</v>
      </c>
      <c r="CP112" s="31">
        <v>0.93989174326407454</v>
      </c>
      <c r="CQ112" s="31">
        <v>0.93838467943380521</v>
      </c>
      <c r="CR112" s="31">
        <v>0.95460173338836152</v>
      </c>
      <c r="CS112" s="31">
        <v>0.93146677810279987</v>
      </c>
      <c r="CT112" s="31">
        <v>0.94188963210702337</v>
      </c>
      <c r="CU112" s="31">
        <v>0.95616211745244006</v>
      </c>
      <c r="CV112" s="31">
        <v>0.94902610857853298</v>
      </c>
      <c r="CW112" s="31">
        <v>0.95719035743973402</v>
      </c>
      <c r="CX112" s="31">
        <v>0.94696020092895683</v>
      </c>
      <c r="CY112" s="31">
        <v>0.94453642384105962</v>
      </c>
      <c r="CZ112" s="31">
        <v>0.96038365304420348</v>
      </c>
      <c r="DA112" s="31">
        <v>0.94843234323432346</v>
      </c>
      <c r="DB112" s="31">
        <v>0.92810188989317999</v>
      </c>
      <c r="DC112" s="31">
        <v>0.9575353871773522</v>
      </c>
      <c r="DD112" s="31">
        <v>0.94814502529510958</v>
      </c>
      <c r="DE112" s="31">
        <v>0.96008316008316008</v>
      </c>
      <c r="DF112" s="31">
        <v>0.94960255465262688</v>
      </c>
      <c r="DG112" s="31">
        <v>0.94697597348798679</v>
      </c>
      <c r="DH112" s="31">
        <v>0.94872846595570137</v>
      </c>
      <c r="DI112" s="31">
        <v>0.94068504594820379</v>
      </c>
      <c r="DJ112" s="31">
        <v>0.94080867027928305</v>
      </c>
      <c r="DK112" s="31">
        <v>0.95136026380873862</v>
      </c>
      <c r="DL112" s="31">
        <v>0.96574494428394553</v>
      </c>
      <c r="DM112" s="31">
        <v>0.95295088732975652</v>
      </c>
      <c r="DN112" s="31">
        <v>0.94960775015623089</v>
      </c>
      <c r="DO112" s="31">
        <v>0.96384039900249374</v>
      </c>
      <c r="DP112" s="31">
        <v>0.9533721898417985</v>
      </c>
      <c r="DQ112" s="31">
        <v>0.94112769485903813</v>
      </c>
      <c r="DR112" s="31">
        <v>0.95637723307021183</v>
      </c>
      <c r="DS112" s="31">
        <v>0.95492142266335811</v>
      </c>
      <c r="DT112" s="31">
        <v>0.96967179061071873</v>
      </c>
      <c r="DU112" s="31">
        <v>0.9668874172185431</v>
      </c>
      <c r="DV112" s="31">
        <v>0.95802830675230888</v>
      </c>
      <c r="DW112" s="31">
        <v>0.96636952998379255</v>
      </c>
      <c r="DX112" s="31">
        <v>0.96701030927835052</v>
      </c>
      <c r="DY112" s="31">
        <v>0.94444444444444442</v>
      </c>
      <c r="DZ112" s="31">
        <v>0.9432421396488363</v>
      </c>
      <c r="EA112" s="31">
        <v>0.96529459241323645</v>
      </c>
      <c r="EB112" s="31">
        <v>0.95561035758323054</v>
      </c>
      <c r="EC112" s="31">
        <v>0.96347968814115714</v>
      </c>
      <c r="ED112" s="31">
        <v>0.95792158021329255</v>
      </c>
      <c r="EE112" s="31">
        <v>0.95537525354969577</v>
      </c>
      <c r="EF112" s="31">
        <v>0.94751830756712774</v>
      </c>
      <c r="EG112" s="31">
        <v>0.94086460032626429</v>
      </c>
      <c r="EH112" s="31">
        <v>0.9526337280522662</v>
      </c>
      <c r="EI112" s="31">
        <v>0.95245835026412029</v>
      </c>
      <c r="EJ112" s="31">
        <v>0.95931651749389746</v>
      </c>
      <c r="EK112" s="31">
        <v>0.95868772782503042</v>
      </c>
      <c r="EL112" s="31">
        <v>0.9524077835826289</v>
      </c>
    </row>
    <row r="113" spans="38:142" x14ac:dyDescent="0.35">
      <c r="AL113" s="19" t="s">
        <v>287</v>
      </c>
      <c r="AM113" s="31">
        <v>0.99454743729552886</v>
      </c>
      <c r="AN113" s="31">
        <v>0.97279651795429811</v>
      </c>
      <c r="AO113" s="31">
        <v>0.99235807860262004</v>
      </c>
      <c r="AP113" s="31">
        <v>0.98469945355191257</v>
      </c>
      <c r="AQ113" s="31">
        <v>0.99458288190682553</v>
      </c>
      <c r="AR113" s="31">
        <v>0.98471615720524019</v>
      </c>
      <c r="AS113" s="31">
        <v>0.99344262295081964</v>
      </c>
      <c r="AT113" s="31">
        <v>0.98816330706674926</v>
      </c>
      <c r="AU113" s="31">
        <v>0.98588490770901194</v>
      </c>
      <c r="AV113" s="31">
        <v>0.98812095032397407</v>
      </c>
      <c r="AW113" s="31">
        <v>0.9686147186147186</v>
      </c>
      <c r="AX113" s="31">
        <v>0.96320346320346317</v>
      </c>
      <c r="AY113" s="31">
        <v>0.99348534201954397</v>
      </c>
      <c r="AZ113" s="31">
        <v>0.98471615720524019</v>
      </c>
      <c r="BA113" s="31">
        <v>0.97173913043478266</v>
      </c>
      <c r="BB113" s="31">
        <v>0.97939495278724775</v>
      </c>
      <c r="BC113" s="31">
        <v>0.98367791077257893</v>
      </c>
      <c r="BD113" s="31">
        <v>0.97814207650273222</v>
      </c>
      <c r="BE113" s="31">
        <v>0.95005428881650378</v>
      </c>
      <c r="BF113" s="31">
        <v>0.93478260869565222</v>
      </c>
      <c r="BG113" s="31">
        <v>0.99890948745910579</v>
      </c>
      <c r="BH113" s="31">
        <v>0.98914223669923995</v>
      </c>
      <c r="BI113" s="31">
        <v>0.99238302502720344</v>
      </c>
      <c r="BJ113" s="31">
        <v>0.97529880485328813</v>
      </c>
      <c r="BK113" s="31">
        <v>0.87459105779716462</v>
      </c>
      <c r="BL113" s="31">
        <v>0.96471885336273433</v>
      </c>
      <c r="BM113" s="31">
        <v>0.80983606557377052</v>
      </c>
      <c r="BN113" s="31">
        <v>0.82985729967069155</v>
      </c>
      <c r="BO113" s="31">
        <v>0.91459459459459458</v>
      </c>
      <c r="BP113" s="31">
        <v>0.95274725274725269</v>
      </c>
      <c r="BQ113" s="31">
        <v>0.96251378169790514</v>
      </c>
      <c r="BR113" s="31">
        <v>0.9012655579205876</v>
      </c>
      <c r="BS113" s="31">
        <v>0.92414529914529919</v>
      </c>
      <c r="BT113" s="31">
        <v>0.87730727470141145</v>
      </c>
      <c r="BU113" s="31">
        <v>0.8943965517241379</v>
      </c>
      <c r="BV113" s="31">
        <v>0.90655209452201935</v>
      </c>
      <c r="BW113" s="31">
        <v>0.93070362473347545</v>
      </c>
      <c r="BX113" s="31">
        <v>0.90685224839400425</v>
      </c>
      <c r="BY113" s="31">
        <v>0.91808510638297869</v>
      </c>
      <c r="BZ113" s="31">
        <v>0.9082917428004752</v>
      </c>
      <c r="CA113" s="31">
        <v>0.90611353711790388</v>
      </c>
      <c r="CB113" s="31">
        <v>0.91141942369263607</v>
      </c>
      <c r="CC113" s="31">
        <v>0.89035087719298245</v>
      </c>
      <c r="CD113" s="31">
        <v>0.90757238307349664</v>
      </c>
      <c r="CE113" s="31">
        <v>0.91986827661909987</v>
      </c>
      <c r="CF113" s="31">
        <v>0.94702702702702701</v>
      </c>
      <c r="CG113" s="31">
        <v>0.95336225596529289</v>
      </c>
      <c r="CH113" s="31">
        <v>0.91938768295549134</v>
      </c>
      <c r="CI113" s="31">
        <v>0.93915929203539827</v>
      </c>
      <c r="CJ113" s="31">
        <v>0.93326039387308535</v>
      </c>
      <c r="CK113" s="31">
        <v>0.90365448504983392</v>
      </c>
      <c r="CL113" s="31">
        <v>0.91475409836065569</v>
      </c>
      <c r="CM113" s="31">
        <v>0.91224268689057419</v>
      </c>
      <c r="CN113" s="31">
        <v>0.94835164835164831</v>
      </c>
      <c r="CO113" s="31">
        <v>0.9493392070484582</v>
      </c>
      <c r="CP113" s="31">
        <v>0.92868025880137917</v>
      </c>
      <c r="CQ113" s="31">
        <v>0.96120689655172409</v>
      </c>
      <c r="CR113" s="31">
        <v>0.96153846153846156</v>
      </c>
      <c r="CS113" s="31">
        <v>0.93405405405405406</v>
      </c>
      <c r="CT113" s="31">
        <v>0.92529348986125937</v>
      </c>
      <c r="CU113" s="31">
        <v>0.96351931330472107</v>
      </c>
      <c r="CV113" s="31">
        <v>0.96551724137931039</v>
      </c>
      <c r="CW113" s="31">
        <v>0.96767241379310343</v>
      </c>
      <c r="CX113" s="31">
        <v>0.95411455292609049</v>
      </c>
      <c r="CY113" s="31">
        <v>0.96042780748663104</v>
      </c>
      <c r="CZ113" s="31">
        <v>0.95619658119658124</v>
      </c>
      <c r="DA113" s="31">
        <v>0.93276414087513337</v>
      </c>
      <c r="DB113" s="31">
        <v>0.92651757188498407</v>
      </c>
      <c r="DC113" s="31">
        <v>0.95</v>
      </c>
      <c r="DD113" s="31">
        <v>0.95614973262032088</v>
      </c>
      <c r="DE113" s="31">
        <v>0.96555435952637247</v>
      </c>
      <c r="DF113" s="31">
        <v>0.94965859908428907</v>
      </c>
      <c r="DG113" s="31">
        <v>0.96474358974358976</v>
      </c>
      <c r="DH113" s="31">
        <v>0.94855305466237938</v>
      </c>
      <c r="DI113" s="31">
        <v>0.93383137673425831</v>
      </c>
      <c r="DJ113" s="31">
        <v>0.92834224598930482</v>
      </c>
      <c r="DK113" s="31">
        <v>0.96566523605150212</v>
      </c>
      <c r="DL113" s="31">
        <v>0.96986006458557594</v>
      </c>
      <c r="DM113" s="31">
        <v>0.96559139784946235</v>
      </c>
      <c r="DN113" s="31">
        <v>0.95379813794515322</v>
      </c>
      <c r="DO113" s="31">
        <v>0.96170212765957441</v>
      </c>
      <c r="DP113" s="31">
        <v>0.95064377682403434</v>
      </c>
      <c r="DQ113" s="31">
        <v>0.94929881337648325</v>
      </c>
      <c r="DR113" s="31">
        <v>0.93062966915688372</v>
      </c>
      <c r="DS113" s="31">
        <v>0.94142259414225937</v>
      </c>
      <c r="DT113" s="31">
        <v>0.95064377682403434</v>
      </c>
      <c r="DU113" s="31">
        <v>0.9585547290116897</v>
      </c>
      <c r="DV113" s="31">
        <v>0.94898506957070838</v>
      </c>
      <c r="DW113" s="31">
        <v>0.92231075697211151</v>
      </c>
      <c r="DX113" s="31">
        <v>0.94936708860759489</v>
      </c>
      <c r="DY113" s="31">
        <v>0.90718562874251496</v>
      </c>
      <c r="DZ113" s="31">
        <v>0.90737051792828682</v>
      </c>
      <c r="EA113" s="31">
        <v>0.97460317460317458</v>
      </c>
      <c r="EB113" s="31">
        <v>0.97659574468085109</v>
      </c>
      <c r="EC113" s="31">
        <v>0.97127659574468084</v>
      </c>
      <c r="ED113" s="31">
        <v>0.94410135818274499</v>
      </c>
      <c r="EE113" s="31">
        <v>0.90828402366863903</v>
      </c>
      <c r="EF113" s="31">
        <v>0.89253731343283582</v>
      </c>
      <c r="EG113" s="31">
        <v>0.89723320158102771</v>
      </c>
      <c r="EH113" s="31">
        <v>0.89447731755424065</v>
      </c>
      <c r="EI113" s="31">
        <v>0.93240556660039764</v>
      </c>
      <c r="EJ113" s="31">
        <v>0.92692692692692691</v>
      </c>
      <c r="EK113" s="31">
        <v>0.91552062868369355</v>
      </c>
      <c r="EL113" s="31">
        <v>0.90962642549253736</v>
      </c>
    </row>
    <row r="114" spans="38:142" x14ac:dyDescent="0.35">
      <c r="AL114" s="19" t="s">
        <v>155</v>
      </c>
      <c r="AM114" s="31">
        <v>0.97203471552555454</v>
      </c>
      <c r="AN114" s="31">
        <v>0.96993210475266733</v>
      </c>
      <c r="AO114" s="31">
        <v>0.97360703812316718</v>
      </c>
      <c r="AP114" s="31">
        <v>0.96324951644100576</v>
      </c>
      <c r="AQ114" s="31">
        <v>0.98267564966313758</v>
      </c>
      <c r="AR114" s="31">
        <v>0.96996124031007747</v>
      </c>
      <c r="AS114" s="31">
        <v>0.98845043310875846</v>
      </c>
      <c r="AT114" s="31">
        <v>0.97427295684633841</v>
      </c>
      <c r="AU114" s="31">
        <v>0.98839458413926495</v>
      </c>
      <c r="AV114" s="31">
        <v>0.97307692307692306</v>
      </c>
      <c r="AW114" s="31">
        <v>0.96501457725947526</v>
      </c>
      <c r="AX114" s="31">
        <v>0.97101449275362317</v>
      </c>
      <c r="AY114" s="31">
        <v>0.98449612403100772</v>
      </c>
      <c r="AZ114" s="31">
        <v>0.98270893371757928</v>
      </c>
      <c r="BA114" s="31">
        <v>0.97010607521697201</v>
      </c>
      <c r="BB114" s="31">
        <v>0.97640167288497781</v>
      </c>
      <c r="BC114" s="31">
        <v>0.96793002915451898</v>
      </c>
      <c r="BD114" s="31">
        <v>0.98842815814850526</v>
      </c>
      <c r="BE114" s="31">
        <v>0.957843137254902</v>
      </c>
      <c r="BF114" s="31">
        <v>0.93320235756385073</v>
      </c>
      <c r="BG114" s="31">
        <v>0.97963142580019402</v>
      </c>
      <c r="BH114" s="31">
        <v>0.98371647509578541</v>
      </c>
      <c r="BI114" s="31">
        <v>0.96926032660902983</v>
      </c>
      <c r="BJ114" s="31">
        <v>0.96857312994668376</v>
      </c>
      <c r="BK114" s="31">
        <v>0.91674828599412339</v>
      </c>
      <c r="BL114" s="31">
        <v>0.95960591133004924</v>
      </c>
      <c r="BM114" s="31">
        <v>0.8416334661354582</v>
      </c>
      <c r="BN114" s="31">
        <v>0.86196623634558089</v>
      </c>
      <c r="BO114" s="31">
        <v>0.94215686274509802</v>
      </c>
      <c r="BP114" s="31">
        <v>0.96031746031746035</v>
      </c>
      <c r="BQ114" s="31">
        <v>0.94700686947988222</v>
      </c>
      <c r="BR114" s="31">
        <v>0.91849072747823601</v>
      </c>
      <c r="BS114" s="31">
        <v>0.95537525354969577</v>
      </c>
      <c r="BT114" s="31">
        <v>0.91759918616480163</v>
      </c>
      <c r="BU114" s="31">
        <v>0.94471865745310957</v>
      </c>
      <c r="BV114" s="31">
        <v>0.97780020181634708</v>
      </c>
      <c r="BW114" s="31">
        <v>0.94965449160908189</v>
      </c>
      <c r="BX114" s="31">
        <v>0.95532994923857872</v>
      </c>
      <c r="BY114" s="31">
        <v>0.96622313203684751</v>
      </c>
      <c r="BZ114" s="31">
        <v>0.95238583883835182</v>
      </c>
      <c r="CA114" s="31">
        <v>0.94406943105110896</v>
      </c>
      <c r="CB114" s="31">
        <v>0.96517412935323388</v>
      </c>
      <c r="CC114" s="31">
        <v>0.94236311239193082</v>
      </c>
      <c r="CD114" s="31">
        <v>0.92911877394636011</v>
      </c>
      <c r="CE114" s="31">
        <v>0.95789473684210524</v>
      </c>
      <c r="CF114" s="31">
        <v>0.96446199407699906</v>
      </c>
      <c r="CG114" s="31">
        <v>0.97475728155339803</v>
      </c>
      <c r="CH114" s="31">
        <v>0.95397706560216233</v>
      </c>
      <c r="CI114" s="31">
        <v>0.97019230769230769</v>
      </c>
      <c r="CJ114" s="31">
        <v>0.9539789069990412</v>
      </c>
      <c r="CK114" s="31">
        <v>0.93881453154875716</v>
      </c>
      <c r="CL114" s="31">
        <v>0.96339113680154143</v>
      </c>
      <c r="CM114" s="31">
        <v>0.98359073359073357</v>
      </c>
      <c r="CN114" s="31">
        <v>0.95415472779369626</v>
      </c>
      <c r="CO114" s="31">
        <v>0.97109826589595372</v>
      </c>
      <c r="CP114" s="31">
        <v>0.96217437290314733</v>
      </c>
      <c r="CQ114" s="31">
        <v>0.97792706333973134</v>
      </c>
      <c r="CR114" s="31">
        <v>0.9789875835721108</v>
      </c>
      <c r="CS114" s="31">
        <v>0.96993210475266733</v>
      </c>
      <c r="CT114" s="31">
        <v>0.96135265700483097</v>
      </c>
      <c r="CU114" s="31">
        <v>0.9674952198852772</v>
      </c>
      <c r="CV114" s="31">
        <v>0.97892720306513414</v>
      </c>
      <c r="CW114" s="31">
        <v>0.98274209012464042</v>
      </c>
      <c r="CX114" s="31">
        <v>0.97390913167777016</v>
      </c>
      <c r="CY114" s="31">
        <v>0.98274209012464042</v>
      </c>
      <c r="CZ114" s="31">
        <v>0.96920115495668913</v>
      </c>
      <c r="DA114" s="31">
        <v>0.97609942638623326</v>
      </c>
      <c r="DB114" s="31">
        <v>0.9736328125</v>
      </c>
      <c r="DC114" s="31">
        <v>0.98352713178294571</v>
      </c>
      <c r="DD114" s="31">
        <v>0.98753595397890703</v>
      </c>
      <c r="DE114" s="31">
        <v>0.98660287081339715</v>
      </c>
      <c r="DF114" s="31">
        <v>0.97990592007754462</v>
      </c>
      <c r="DG114" s="31">
        <v>0.9789875835721108</v>
      </c>
      <c r="DH114" s="31">
        <v>0.98262548262548266</v>
      </c>
      <c r="DI114" s="31">
        <v>0.95406698564593306</v>
      </c>
      <c r="DJ114" s="31">
        <v>0.97868217054263562</v>
      </c>
      <c r="DK114" s="31">
        <v>0.98470363288718932</v>
      </c>
      <c r="DL114" s="31">
        <v>0.9759846301633045</v>
      </c>
      <c r="DM114" s="31">
        <v>0.97892720306513414</v>
      </c>
      <c r="DN114" s="31">
        <v>0.97628252692882711</v>
      </c>
      <c r="DO114" s="31">
        <v>0.98087954110898656</v>
      </c>
      <c r="DP114" s="31">
        <v>0.97792706333973134</v>
      </c>
      <c r="DQ114" s="31">
        <v>0.91329479768786126</v>
      </c>
      <c r="DR114" s="31">
        <v>0.93499043977055452</v>
      </c>
      <c r="DS114" s="31">
        <v>0.98729227761485827</v>
      </c>
      <c r="DT114" s="31">
        <v>0.97786333012512028</v>
      </c>
      <c r="DU114" s="31">
        <v>0.98082454458293389</v>
      </c>
      <c r="DV114" s="31">
        <v>0.96472457060429229</v>
      </c>
      <c r="DW114" s="31">
        <v>0.97214217098943323</v>
      </c>
      <c r="DX114" s="31">
        <v>0.98005698005698005</v>
      </c>
      <c r="DY114" s="31">
        <v>0.95192307692307687</v>
      </c>
      <c r="DZ114" s="31">
        <v>0.96829971181556196</v>
      </c>
      <c r="EA114" s="31">
        <v>0.97497593840230989</v>
      </c>
      <c r="EB114" s="31">
        <v>0.96466093600764091</v>
      </c>
      <c r="EC114" s="31">
        <v>0.96535129932627528</v>
      </c>
      <c r="ED114" s="31">
        <v>0.96820144478875392</v>
      </c>
      <c r="EE114" s="31">
        <v>0.96902226524685386</v>
      </c>
      <c r="EF114" s="31">
        <v>0.98360655737704916</v>
      </c>
      <c r="EG114" s="31">
        <v>0.97004830917874396</v>
      </c>
      <c r="EH114" s="31">
        <v>0.95155038759689925</v>
      </c>
      <c r="EI114" s="31">
        <v>0.97779922779922779</v>
      </c>
      <c r="EJ114" s="31">
        <v>0.97813688212927752</v>
      </c>
      <c r="EK114" s="31">
        <v>0.98082454458293389</v>
      </c>
      <c r="EL114" s="31">
        <v>0.97299831055871222</v>
      </c>
    </row>
    <row r="115" spans="38:142" x14ac:dyDescent="0.35">
      <c r="AL115" s="19" t="s">
        <v>292</v>
      </c>
      <c r="AM115" s="31">
        <v>0.95256534365924495</v>
      </c>
      <c r="AN115" s="31">
        <v>0.92293054234062799</v>
      </c>
      <c r="AO115" s="31">
        <v>0.93359375</v>
      </c>
      <c r="AP115" s="31">
        <v>0.91755577109602326</v>
      </c>
      <c r="AQ115" s="31">
        <v>0.95961538461538465</v>
      </c>
      <c r="AR115" s="31">
        <v>0.94548872180451127</v>
      </c>
      <c r="AS115" s="31">
        <v>0.93474088291746638</v>
      </c>
      <c r="AT115" s="31">
        <v>0.93807005663332266</v>
      </c>
      <c r="AU115" s="31">
        <v>0.94152046783625731</v>
      </c>
      <c r="AV115" s="31">
        <v>0.9296724470134875</v>
      </c>
      <c r="AW115" s="31">
        <v>0.91873804971319306</v>
      </c>
      <c r="AX115" s="31">
        <v>0.93177387914230014</v>
      </c>
      <c r="AY115" s="31">
        <v>0.94089147286821706</v>
      </c>
      <c r="AZ115" s="31">
        <v>0.96438883541867182</v>
      </c>
      <c r="BA115" s="31">
        <v>0.94782608695652171</v>
      </c>
      <c r="BB115" s="31">
        <v>0.93925874842123558</v>
      </c>
      <c r="BC115" s="31">
        <v>0.9278752436647173</v>
      </c>
      <c r="BD115" s="31">
        <v>0.94525904203323563</v>
      </c>
      <c r="BE115" s="31">
        <v>0.89715964740450538</v>
      </c>
      <c r="BF115" s="31">
        <v>0.92361809045226129</v>
      </c>
      <c r="BG115" s="31">
        <v>0.93968871595330739</v>
      </c>
      <c r="BH115" s="31">
        <v>0.96224588576960313</v>
      </c>
      <c r="BI115" s="31">
        <v>0.94498069498069504</v>
      </c>
      <c r="BJ115" s="31">
        <v>0.9344039028940464</v>
      </c>
      <c r="BK115" s="31">
        <v>0.86763285024154591</v>
      </c>
      <c r="BL115" s="31">
        <v>0.9270729270729271</v>
      </c>
      <c r="BM115" s="31">
        <v>0.77669902912621358</v>
      </c>
      <c r="BN115" s="31">
        <v>0.80415430267062316</v>
      </c>
      <c r="BO115" s="31">
        <v>0.91367604267701263</v>
      </c>
      <c r="BP115" s="31">
        <v>0.91804878048780492</v>
      </c>
      <c r="BQ115" s="31">
        <v>0.91576885406464248</v>
      </c>
      <c r="BR115" s="31">
        <v>0.87472182662010989</v>
      </c>
      <c r="BS115" s="31">
        <v>0.91571969696969702</v>
      </c>
      <c r="BT115" s="31">
        <v>0.83268482490272377</v>
      </c>
      <c r="BU115" s="31">
        <v>0.89820923656927432</v>
      </c>
      <c r="BV115" s="31">
        <v>0.90489642184557439</v>
      </c>
      <c r="BW115" s="31">
        <v>0.9161105815061964</v>
      </c>
      <c r="BX115" s="31">
        <v>0.84947267497603063</v>
      </c>
      <c r="BY115" s="31">
        <v>0.87988560533841753</v>
      </c>
      <c r="BZ115" s="31">
        <v>0.88528272030113053</v>
      </c>
      <c r="CA115" s="31">
        <v>0.96214219759926134</v>
      </c>
      <c r="CB115" s="31">
        <v>0.92351274787535409</v>
      </c>
      <c r="CC115" s="31">
        <v>0.94521819870009283</v>
      </c>
      <c r="CD115" s="31">
        <v>0.96313799621928164</v>
      </c>
      <c r="CE115" s="31">
        <v>0.95584176632934681</v>
      </c>
      <c r="CF115" s="31">
        <v>0.9449626865671642</v>
      </c>
      <c r="CG115" s="31">
        <v>0.95791399817017386</v>
      </c>
      <c r="CH115" s="31">
        <v>0.95038994163723933</v>
      </c>
      <c r="CI115" s="31">
        <v>0.93802035152636443</v>
      </c>
      <c r="CJ115" s="31">
        <v>0.96089385474860334</v>
      </c>
      <c r="CK115" s="31">
        <v>0.93679245283018864</v>
      </c>
      <c r="CL115" s="31">
        <v>0.924953095684803</v>
      </c>
      <c r="CM115" s="31">
        <v>0.9693308550185874</v>
      </c>
      <c r="CN115" s="31">
        <v>0.97769516728624539</v>
      </c>
      <c r="CO115" s="31">
        <v>0.97247706422018354</v>
      </c>
      <c r="CP115" s="31">
        <v>0.95430897733071085</v>
      </c>
      <c r="CQ115" s="31">
        <v>0.94736842105263153</v>
      </c>
      <c r="CR115" s="31">
        <v>0.94304388422035479</v>
      </c>
      <c r="CS115" s="31">
        <v>0.91517436380772854</v>
      </c>
      <c r="CT115" s="31">
        <v>0.93025447690857677</v>
      </c>
      <c r="CU115" s="31">
        <v>0.9449112978524743</v>
      </c>
      <c r="CV115" s="31">
        <v>0.94940202391904327</v>
      </c>
      <c r="CW115" s="31">
        <v>0.94678899082568813</v>
      </c>
      <c r="CX115" s="31">
        <v>0.93956335122664236</v>
      </c>
      <c r="CY115" s="31">
        <v>0.96014828544949027</v>
      </c>
      <c r="CZ115" s="31">
        <v>0.94084507042253518</v>
      </c>
      <c r="DA115" s="31">
        <v>0.95260663507109</v>
      </c>
      <c r="DB115" s="31">
        <v>0.94391634980988592</v>
      </c>
      <c r="DC115" s="31">
        <v>0.95361781076066787</v>
      </c>
      <c r="DD115" s="31">
        <v>0.96125461254612543</v>
      </c>
      <c r="DE115" s="31">
        <v>0.9555555555555556</v>
      </c>
      <c r="DF115" s="31">
        <v>0.95256347423076437</v>
      </c>
      <c r="DG115" s="31">
        <v>0.98011363636363635</v>
      </c>
      <c r="DH115" s="31">
        <v>0.95480225988700562</v>
      </c>
      <c r="DI115" s="31">
        <v>0.94827586206896552</v>
      </c>
      <c r="DJ115" s="31">
        <v>0.94247363374880155</v>
      </c>
      <c r="DK115" s="31">
        <v>0.96</v>
      </c>
      <c r="DL115" s="31">
        <v>0.97080979284369118</v>
      </c>
      <c r="DM115" s="31">
        <v>0.96486229819563152</v>
      </c>
      <c r="DN115" s="31">
        <v>0.9601910690153902</v>
      </c>
      <c r="DO115" s="31">
        <v>0.94644506001846718</v>
      </c>
      <c r="DP115" s="31">
        <v>0.94607379375591294</v>
      </c>
      <c r="DQ115" s="31">
        <v>0.93942218080149109</v>
      </c>
      <c r="DR115" s="31">
        <v>0.94083969465648853</v>
      </c>
      <c r="DS115" s="31">
        <v>0.95958646616541354</v>
      </c>
      <c r="DT115" s="31">
        <v>0.95211267605633798</v>
      </c>
      <c r="DU115" s="31">
        <v>0.95947219604147027</v>
      </c>
      <c r="DV115" s="31">
        <v>0.949136009642226</v>
      </c>
      <c r="DW115" s="31">
        <v>0.93714821763602252</v>
      </c>
      <c r="DX115" s="31">
        <v>0.94564198687910028</v>
      </c>
      <c r="DY115" s="31">
        <v>0.92710280373831777</v>
      </c>
      <c r="DZ115" s="31">
        <v>0.90234741784037553</v>
      </c>
      <c r="EA115" s="31">
        <v>0.95908658420551851</v>
      </c>
      <c r="EB115" s="31">
        <v>0.94761459307764262</v>
      </c>
      <c r="EC115" s="31">
        <v>0.94584500466853405</v>
      </c>
      <c r="ED115" s="31">
        <v>0.9378266582922159</v>
      </c>
      <c r="EE115" s="31">
        <v>0.95543175487465182</v>
      </c>
      <c r="EF115" s="31">
        <v>0.93697083725305741</v>
      </c>
      <c r="EG115" s="31">
        <v>0.92300556586270877</v>
      </c>
      <c r="EH115" s="31">
        <v>0.89879294336118853</v>
      </c>
      <c r="EI115" s="31">
        <v>0.95055970149253732</v>
      </c>
      <c r="EJ115" s="31">
        <v>0.94035414725069899</v>
      </c>
      <c r="EK115" s="31">
        <v>0.94018691588785042</v>
      </c>
      <c r="EL115" s="31">
        <v>0.93504312371181331</v>
      </c>
    </row>
    <row r="116" spans="38:142" x14ac:dyDescent="0.35">
      <c r="AL116" s="19" t="s">
        <v>219</v>
      </c>
      <c r="AM116" s="31">
        <v>0.94377224199288257</v>
      </c>
      <c r="AN116" s="31">
        <v>0.88563259471050748</v>
      </c>
      <c r="AO116" s="31">
        <v>0.9156540385989993</v>
      </c>
      <c r="AP116" s="31">
        <v>0.91142857142857148</v>
      </c>
      <c r="AQ116" s="31">
        <v>0.94635193133047213</v>
      </c>
      <c r="AR116" s="31">
        <v>0.93994211287988427</v>
      </c>
      <c r="AS116" s="31">
        <v>0.94881038211968272</v>
      </c>
      <c r="AT116" s="31">
        <v>0.92737026758014296</v>
      </c>
      <c r="AU116" s="31">
        <v>0.94748358862144422</v>
      </c>
      <c r="AV116" s="31">
        <v>0.93696275071633239</v>
      </c>
      <c r="AW116" s="31">
        <v>0.9157142857142857</v>
      </c>
      <c r="AX116" s="31">
        <v>0.92616487455197127</v>
      </c>
      <c r="AY116" s="31">
        <v>0.949238578680203</v>
      </c>
      <c r="AZ116" s="31">
        <v>0.97046109510086453</v>
      </c>
      <c r="BA116" s="31">
        <v>0.95809248554913296</v>
      </c>
      <c r="BB116" s="31">
        <v>0.94344537984774768</v>
      </c>
      <c r="BC116" s="31">
        <v>0.92446043165467628</v>
      </c>
      <c r="BD116" s="31">
        <v>0.93110795454545459</v>
      </c>
      <c r="BE116" s="31">
        <v>0.88307030129124819</v>
      </c>
      <c r="BF116" s="31">
        <v>0.85672937771345881</v>
      </c>
      <c r="BG116" s="31">
        <v>0.93571428571428572</v>
      </c>
      <c r="BH116" s="31">
        <v>0.94297933000712764</v>
      </c>
      <c r="BI116" s="31">
        <v>0.9450392576730906</v>
      </c>
      <c r="BJ116" s="31">
        <v>0.91701441979990583</v>
      </c>
      <c r="BK116" s="31">
        <v>0.83406432748538006</v>
      </c>
      <c r="BL116" s="31">
        <v>0.85662824207492794</v>
      </c>
      <c r="BM116" s="31">
        <v>0.92809977989728543</v>
      </c>
      <c r="BN116" s="31">
        <v>0.91409691629955947</v>
      </c>
      <c r="BO116" s="31">
        <v>0.85921625544267055</v>
      </c>
      <c r="BP116" s="31">
        <v>0.88839941262848754</v>
      </c>
      <c r="BQ116" s="31">
        <v>0.88636363636363635</v>
      </c>
      <c r="BR116" s="31">
        <v>0.88098122431313541</v>
      </c>
      <c r="BS116" s="31">
        <v>0.9102011494252874</v>
      </c>
      <c r="BT116" s="31">
        <v>0.92883345561261921</v>
      </c>
      <c r="BU116" s="31">
        <v>0.90758122743682312</v>
      </c>
      <c r="BV116" s="31">
        <v>0.89956647398843925</v>
      </c>
      <c r="BW116" s="31">
        <v>0.91345454545454541</v>
      </c>
      <c r="BX116" s="31">
        <v>0.83480176211453749</v>
      </c>
      <c r="BY116" s="31">
        <v>0.8751846381093058</v>
      </c>
      <c r="BZ116" s="31">
        <v>0.89566046459165116</v>
      </c>
      <c r="CA116" s="31">
        <v>0.96446339729921815</v>
      </c>
      <c r="CB116" s="31">
        <v>0.9058908045977011</v>
      </c>
      <c r="CC116" s="31">
        <v>0.93550673281360741</v>
      </c>
      <c r="CD116" s="31">
        <v>0.93714285714285717</v>
      </c>
      <c r="CE116" s="31">
        <v>0.97204301075268817</v>
      </c>
      <c r="CF116" s="31">
        <v>0.94432393347794652</v>
      </c>
      <c r="CG116" s="31">
        <v>0.9727011494252874</v>
      </c>
      <c r="CH116" s="31">
        <v>0.94743884078704355</v>
      </c>
      <c r="CI116" s="31">
        <v>0.93296089385474856</v>
      </c>
      <c r="CJ116" s="31">
        <v>0.9401408450704225</v>
      </c>
      <c r="CK116" s="31">
        <v>0.92817294281729423</v>
      </c>
      <c r="CL116" s="31">
        <v>0.90769230769230769</v>
      </c>
      <c r="CM116" s="31">
        <v>0.94039270687237031</v>
      </c>
      <c r="CN116" s="31">
        <v>0.95943060498220645</v>
      </c>
      <c r="CO116" s="31">
        <v>0.93977591036414565</v>
      </c>
      <c r="CP116" s="31">
        <v>0.93550945880764225</v>
      </c>
      <c r="CQ116" s="31">
        <v>0.94957983193277307</v>
      </c>
      <c r="CR116" s="31">
        <v>0.91304347826086951</v>
      </c>
      <c r="CS116" s="31">
        <v>0.9452247191011236</v>
      </c>
      <c r="CT116" s="31">
        <v>0.91730903994393831</v>
      </c>
      <c r="CU116" s="31">
        <v>0.95205003474635164</v>
      </c>
      <c r="CV116" s="31">
        <v>0.9367977528089888</v>
      </c>
      <c r="CW116" s="31">
        <v>0.95191637630662018</v>
      </c>
      <c r="CX116" s="31">
        <v>0.93798874758580941</v>
      </c>
      <c r="CY116" s="31">
        <v>0.9457956914523975</v>
      </c>
      <c r="CZ116" s="31">
        <v>0.94162612925642808</v>
      </c>
      <c r="DA116" s="31">
        <v>0.93546148507980564</v>
      </c>
      <c r="DB116" s="31">
        <v>0.94371091035441279</v>
      </c>
      <c r="DC116" s="31">
        <v>0.945983379501385</v>
      </c>
      <c r="DD116" s="31">
        <v>0.95833333333333337</v>
      </c>
      <c r="DE116" s="31">
        <v>0.97364771151178919</v>
      </c>
      <c r="DF116" s="31">
        <v>0.94922266292707891</v>
      </c>
      <c r="DG116" s="31">
        <v>0.97388316151202747</v>
      </c>
      <c r="DH116" s="31">
        <v>0.94395078605604921</v>
      </c>
      <c r="DI116" s="31">
        <v>0.95098706603131378</v>
      </c>
      <c r="DJ116" s="31">
        <v>0.94077134986225897</v>
      </c>
      <c r="DK116" s="31">
        <v>0.98409405255878279</v>
      </c>
      <c r="DL116" s="31">
        <v>0.97656788421778085</v>
      </c>
      <c r="DM116" s="31">
        <v>0.9910406616126809</v>
      </c>
      <c r="DN116" s="31">
        <v>0.96589928026441363</v>
      </c>
      <c r="DO116" s="31">
        <v>0.93947730398899587</v>
      </c>
      <c r="DP116" s="31">
        <v>0.94467213114754101</v>
      </c>
      <c r="DQ116" s="31">
        <v>0.89168937329700271</v>
      </c>
      <c r="DR116" s="31">
        <v>0.89897610921501703</v>
      </c>
      <c r="DS116" s="31">
        <v>0.9425837320574163</v>
      </c>
      <c r="DT116" s="31">
        <v>0.96780821917808224</v>
      </c>
      <c r="DU116" s="31">
        <v>0.95878378378378382</v>
      </c>
      <c r="DV116" s="31">
        <v>0.93485580752397701</v>
      </c>
      <c r="DW116" s="31">
        <v>0.88888888888888884</v>
      </c>
      <c r="DX116" s="31">
        <v>0.90368852459016391</v>
      </c>
      <c r="DY116" s="31">
        <v>0.85646258503401362</v>
      </c>
      <c r="DZ116" s="31">
        <v>0.84485094850948506</v>
      </c>
      <c r="EA116" s="31">
        <v>0.89213025780189958</v>
      </c>
      <c r="EB116" s="31">
        <v>0.92375168690958165</v>
      </c>
      <c r="EC116" s="31">
        <v>0.91626630061770764</v>
      </c>
      <c r="ED116" s="31">
        <v>0.88943417033596295</v>
      </c>
      <c r="EE116" s="31">
        <v>0.91804407713498626</v>
      </c>
      <c r="EF116" s="31">
        <v>0.88987083616587359</v>
      </c>
      <c r="EG116" s="31">
        <v>0.89538885065381968</v>
      </c>
      <c r="EH116" s="31">
        <v>0.90347222222222223</v>
      </c>
      <c r="EI116" s="31">
        <v>0.90859481582537516</v>
      </c>
      <c r="EJ116" s="31">
        <v>0.92524005486968453</v>
      </c>
      <c r="EK116" s="31">
        <v>0.90724441435341907</v>
      </c>
      <c r="EL116" s="31">
        <v>0.90683646731791157</v>
      </c>
    </row>
    <row r="117" spans="38:142" x14ac:dyDescent="0.35">
      <c r="AL117" s="19" t="s">
        <v>156</v>
      </c>
      <c r="AM117" s="31">
        <v>0.95608531994981183</v>
      </c>
      <c r="AN117" s="31">
        <v>0.94024157660521301</v>
      </c>
      <c r="AO117" s="31">
        <v>0.92906465787821724</v>
      </c>
      <c r="AP117" s="31">
        <v>0.93785310734463279</v>
      </c>
      <c r="AQ117" s="31">
        <v>0.95597484276729561</v>
      </c>
      <c r="AR117" s="31">
        <v>0.94236858771374288</v>
      </c>
      <c r="AS117" s="31">
        <v>0.9600253807106599</v>
      </c>
      <c r="AT117" s="31">
        <v>0.94594478185279629</v>
      </c>
      <c r="AU117" s="31">
        <v>0.90419536631183473</v>
      </c>
      <c r="AV117" s="31">
        <v>0.92780916509730071</v>
      </c>
      <c r="AW117" s="31">
        <v>0.91635220125786165</v>
      </c>
      <c r="AX117" s="31">
        <v>0.91572327044025159</v>
      </c>
      <c r="AY117" s="31">
        <v>0.93546365914786966</v>
      </c>
      <c r="AZ117" s="31">
        <v>0.93617021276595747</v>
      </c>
      <c r="BA117" s="31">
        <v>0.95288944723618085</v>
      </c>
      <c r="BB117" s="31">
        <v>0.9269433317510366</v>
      </c>
      <c r="BC117" s="31">
        <v>0.92380352644836272</v>
      </c>
      <c r="BD117" s="31">
        <v>0.90503144654088052</v>
      </c>
      <c r="BE117" s="31">
        <v>0.91098484848484851</v>
      </c>
      <c r="BF117" s="31">
        <v>0.9122474747474747</v>
      </c>
      <c r="BG117" s="31">
        <v>0.94265910522999374</v>
      </c>
      <c r="BH117" s="31">
        <v>0.94143576826196473</v>
      </c>
      <c r="BI117" s="31">
        <v>0.93631778058007564</v>
      </c>
      <c r="BJ117" s="31">
        <v>0.92463999289908583</v>
      </c>
      <c r="BK117" s="31">
        <v>0.83936507936507931</v>
      </c>
      <c r="BL117" s="31">
        <v>0.90593434343434343</v>
      </c>
      <c r="BM117" s="31">
        <v>0.76287349014621741</v>
      </c>
      <c r="BN117" s="31">
        <v>0.76668785759694846</v>
      </c>
      <c r="BO117" s="31">
        <v>0.87650411652944904</v>
      </c>
      <c r="BP117" s="31">
        <v>0.89981096408317585</v>
      </c>
      <c r="BQ117" s="31">
        <v>0.88769716088328077</v>
      </c>
      <c r="BR117" s="31">
        <v>0.84841043029121355</v>
      </c>
      <c r="BS117" s="31">
        <v>0.9078780177890724</v>
      </c>
      <c r="BT117" s="31">
        <v>0.79402415766052126</v>
      </c>
      <c r="BU117" s="31">
        <v>0.88924050632911389</v>
      </c>
      <c r="BV117" s="31">
        <v>0.86278195488721809</v>
      </c>
      <c r="BW117" s="31">
        <v>0.91312618896639186</v>
      </c>
      <c r="BX117" s="31">
        <v>0.83471074380165289</v>
      </c>
      <c r="BY117" s="31">
        <v>0.86649713922441196</v>
      </c>
      <c r="BZ117" s="31">
        <v>0.8668941012369118</v>
      </c>
      <c r="CA117" s="31">
        <v>0.91118012422360251</v>
      </c>
      <c r="CB117" s="31">
        <v>0.86951144094001231</v>
      </c>
      <c r="CC117" s="31">
        <v>0.87861983980283431</v>
      </c>
      <c r="CD117" s="31">
        <v>0.88416512630930377</v>
      </c>
      <c r="CE117" s="31">
        <v>0.90615288999378496</v>
      </c>
      <c r="CF117" s="31">
        <v>0.90591900311526474</v>
      </c>
      <c r="CG117" s="31">
        <v>0.92749999999999999</v>
      </c>
      <c r="CH117" s="31">
        <v>0.89757834634068612</v>
      </c>
      <c r="CI117" s="31">
        <v>0.89197530864197527</v>
      </c>
      <c r="CJ117" s="31">
        <v>0.91620455945779422</v>
      </c>
      <c r="CK117" s="31">
        <v>0.88380716934487025</v>
      </c>
      <c r="CL117" s="31">
        <v>0.87206427688504329</v>
      </c>
      <c r="CM117" s="31">
        <v>0.88902589395807641</v>
      </c>
      <c r="CN117" s="31">
        <v>0.91161928306551299</v>
      </c>
      <c r="CO117" s="31">
        <v>0.92150803461063036</v>
      </c>
      <c r="CP117" s="31">
        <v>0.89802921799484337</v>
      </c>
      <c r="CQ117" s="31">
        <v>0.90717821782178221</v>
      </c>
      <c r="CR117" s="31">
        <v>0.890625</v>
      </c>
      <c r="CS117" s="31">
        <v>0.91207430340557272</v>
      </c>
      <c r="CT117" s="31">
        <v>0.90650154798761606</v>
      </c>
      <c r="CU117" s="31">
        <v>0.9288833437305053</v>
      </c>
      <c r="CV117" s="31">
        <v>0.92576419213973804</v>
      </c>
      <c r="CW117" s="31">
        <v>0.9357682619647355</v>
      </c>
      <c r="CX117" s="31">
        <v>0.91525640957856413</v>
      </c>
      <c r="CY117" s="31">
        <v>0.94063079777365488</v>
      </c>
      <c r="CZ117" s="31">
        <v>0.89721362229102164</v>
      </c>
      <c r="DA117" s="31">
        <v>0.91547545059042879</v>
      </c>
      <c r="DB117" s="31">
        <v>0.92169049098819145</v>
      </c>
      <c r="DC117" s="31">
        <v>0.93468884781269257</v>
      </c>
      <c r="DD117" s="31">
        <v>0.92830655129789863</v>
      </c>
      <c r="DE117" s="31">
        <v>0.93468884781269257</v>
      </c>
      <c r="DF117" s="31">
        <v>0.9246706583666543</v>
      </c>
      <c r="DG117" s="31">
        <v>0.94990723562152135</v>
      </c>
      <c r="DH117" s="31">
        <v>0.91671845866998136</v>
      </c>
      <c r="DI117" s="31">
        <v>0.95246913580246917</v>
      </c>
      <c r="DJ117" s="31">
        <v>0.95308641975308639</v>
      </c>
      <c r="DK117" s="31">
        <v>0.96658415841584155</v>
      </c>
      <c r="DL117" s="31">
        <v>0.9466501240694789</v>
      </c>
      <c r="DM117" s="31">
        <v>0.94592914853946553</v>
      </c>
      <c r="DN117" s="31">
        <v>0.9473349544102635</v>
      </c>
      <c r="DO117" s="31">
        <v>0.95776397515527956</v>
      </c>
      <c r="DP117" s="31">
        <v>0.93271604938271602</v>
      </c>
      <c r="DQ117" s="31">
        <v>0.91903584672435101</v>
      </c>
      <c r="DR117" s="31">
        <v>0.92212608158220022</v>
      </c>
      <c r="DS117" s="31">
        <v>0.96094234345939245</v>
      </c>
      <c r="DT117" s="31">
        <v>0.95547309833024119</v>
      </c>
      <c r="DU117" s="31">
        <v>0.95541795665634677</v>
      </c>
      <c r="DV117" s="31">
        <v>0.94335362161293246</v>
      </c>
      <c r="DW117" s="31">
        <v>0.9630314232902033</v>
      </c>
      <c r="DX117" s="31">
        <v>0.93881334981458586</v>
      </c>
      <c r="DY117" s="31">
        <v>0.93684210526315792</v>
      </c>
      <c r="DZ117" s="31">
        <v>0.95913312693498454</v>
      </c>
      <c r="EA117" s="31">
        <v>0.96437346437346438</v>
      </c>
      <c r="EB117" s="31">
        <v>0.95463020509633312</v>
      </c>
      <c r="EC117" s="31">
        <v>0.96611213801601969</v>
      </c>
      <c r="ED117" s="31">
        <v>0.95470511611267839</v>
      </c>
      <c r="EE117" s="31">
        <v>0.94354838709677424</v>
      </c>
      <c r="EF117" s="31">
        <v>0.96718266253869967</v>
      </c>
      <c r="EG117" s="31">
        <v>0.92379182156133832</v>
      </c>
      <c r="EH117" s="31">
        <v>0.93308550185873607</v>
      </c>
      <c r="EI117" s="31">
        <v>0.96103896103896103</v>
      </c>
      <c r="EJ117" s="31">
        <v>0.96393034825870649</v>
      </c>
      <c r="EK117" s="31">
        <v>0.97093382807668527</v>
      </c>
      <c r="EL117" s="31">
        <v>0.95193021577570025</v>
      </c>
    </row>
    <row r="118" spans="38:142" x14ac:dyDescent="0.35">
      <c r="AL118" s="19" t="s">
        <v>157</v>
      </c>
      <c r="AM118" s="31">
        <v>0.9273021001615509</v>
      </c>
      <c r="AN118" s="31">
        <v>0.92495921696574224</v>
      </c>
      <c r="AO118" s="31">
        <v>0.93421052631578949</v>
      </c>
      <c r="AP118" s="31">
        <v>0.92985318107667214</v>
      </c>
      <c r="AQ118" s="31">
        <v>0.93719008264462811</v>
      </c>
      <c r="AR118" s="31">
        <v>0.9513776337115073</v>
      </c>
      <c r="AS118" s="31">
        <v>0.9443535188216039</v>
      </c>
      <c r="AT118" s="31">
        <v>0.93560660852821342</v>
      </c>
      <c r="AU118" s="31">
        <v>0.95121951219512191</v>
      </c>
      <c r="AV118" s="31">
        <v>0.94651539708265797</v>
      </c>
      <c r="AW118" s="31">
        <v>0.89768976897689767</v>
      </c>
      <c r="AX118" s="31">
        <v>0.88543371522094927</v>
      </c>
      <c r="AY118" s="31">
        <v>0.93485342019543971</v>
      </c>
      <c r="AZ118" s="31">
        <v>0.94184168012924074</v>
      </c>
      <c r="BA118" s="31">
        <v>0.93495934959349591</v>
      </c>
      <c r="BB118" s="31">
        <v>0.92750183477054349</v>
      </c>
      <c r="BC118" s="31">
        <v>0.90522875816993464</v>
      </c>
      <c r="BD118" s="31">
        <v>0.88888888888888884</v>
      </c>
      <c r="BE118" s="31">
        <v>0.86754966887417218</v>
      </c>
      <c r="BF118" s="31">
        <v>0.86235489220563843</v>
      </c>
      <c r="BG118" s="31">
        <v>0.91419141914191415</v>
      </c>
      <c r="BH118" s="31">
        <v>0.92610837438423643</v>
      </c>
      <c r="BI118" s="31">
        <v>0.91967213114754098</v>
      </c>
      <c r="BJ118" s="31">
        <v>0.8977134475446179</v>
      </c>
      <c r="BK118" s="31">
        <v>0.82401315789473684</v>
      </c>
      <c r="BL118" s="31">
        <v>0.90635451505016718</v>
      </c>
      <c r="BM118" s="31">
        <v>0.78181818181818186</v>
      </c>
      <c r="BN118" s="31">
        <v>0.82148760330578507</v>
      </c>
      <c r="BO118" s="31">
        <v>0.88336192109777012</v>
      </c>
      <c r="BP118" s="31">
        <v>0.90572390572390571</v>
      </c>
      <c r="BQ118" s="31">
        <v>0.88590604026845643</v>
      </c>
      <c r="BR118" s="31">
        <v>0.85838076073700065</v>
      </c>
      <c r="BS118" s="31">
        <v>0.91162029459901806</v>
      </c>
      <c r="BT118" s="31">
        <v>0.87027914614121515</v>
      </c>
      <c r="BU118" s="31">
        <v>0.88981636060100167</v>
      </c>
      <c r="BV118" s="31">
        <v>0.90476190476190477</v>
      </c>
      <c r="BW118" s="31">
        <v>0.9251247920133111</v>
      </c>
      <c r="BX118" s="31">
        <v>0.89403973509933776</v>
      </c>
      <c r="BY118" s="31">
        <v>0.8775834658187599</v>
      </c>
      <c r="BZ118" s="31">
        <v>0.89617509986207844</v>
      </c>
      <c r="CA118" s="31">
        <v>0.91774193548387095</v>
      </c>
      <c r="CB118" s="31">
        <v>0.9145161290322581</v>
      </c>
      <c r="CC118" s="31">
        <v>0.91465378421900156</v>
      </c>
      <c r="CD118" s="31">
        <v>0.94174757281553401</v>
      </c>
      <c r="CE118" s="31">
        <v>0.93920000000000003</v>
      </c>
      <c r="CF118" s="31">
        <v>0.93944353518821599</v>
      </c>
      <c r="CG118" s="31">
        <v>0.94822006472491904</v>
      </c>
      <c r="CH118" s="31">
        <v>0.93078900306625711</v>
      </c>
      <c r="CI118" s="31">
        <v>0.89889415481832546</v>
      </c>
      <c r="CJ118" s="31">
        <v>0.95161290322580649</v>
      </c>
      <c r="CK118" s="31">
        <v>0.88151658767772512</v>
      </c>
      <c r="CL118" s="31">
        <v>0.91479099678456588</v>
      </c>
      <c r="CM118" s="31">
        <v>0.89776357827476039</v>
      </c>
      <c r="CN118" s="31">
        <v>0.94639865996649919</v>
      </c>
      <c r="CO118" s="31">
        <v>0.92079207920792083</v>
      </c>
      <c r="CP118" s="31">
        <v>0.91596699427937189</v>
      </c>
      <c r="CQ118" s="31">
        <v>0.89252336448598135</v>
      </c>
      <c r="CR118" s="31">
        <v>0.92320000000000002</v>
      </c>
      <c r="CS118" s="31">
        <v>0.87187499999999996</v>
      </c>
      <c r="CT118" s="31">
        <v>0.87874015748031498</v>
      </c>
      <c r="CU118" s="31">
        <v>0.88958009331259724</v>
      </c>
      <c r="CV118" s="31">
        <v>0.92220421393841168</v>
      </c>
      <c r="CW118" s="31">
        <v>0.91104294478527603</v>
      </c>
      <c r="CX118" s="31">
        <v>0.8984522534289402</v>
      </c>
      <c r="CY118" s="31">
        <v>0.87808641975308643</v>
      </c>
      <c r="CZ118" s="31">
        <v>0.91190108191653785</v>
      </c>
      <c r="DA118" s="31">
        <v>0.87422360248447206</v>
      </c>
      <c r="DB118" s="31">
        <v>0.87901990811638586</v>
      </c>
      <c r="DC118" s="31">
        <v>0.89731437598736175</v>
      </c>
      <c r="DD118" s="31">
        <v>0.91782945736434107</v>
      </c>
      <c r="DE118" s="31">
        <v>0.90438871473354232</v>
      </c>
      <c r="DF118" s="31">
        <v>0.8946805086222468</v>
      </c>
      <c r="DG118" s="31">
        <v>0.90625</v>
      </c>
      <c r="DH118" s="31">
        <v>0.91887675507020283</v>
      </c>
      <c r="DI118" s="31">
        <v>0.88161993769470404</v>
      </c>
      <c r="DJ118" s="31">
        <v>0.87831513260530425</v>
      </c>
      <c r="DK118" s="31">
        <v>0.91063174114021572</v>
      </c>
      <c r="DL118" s="31">
        <v>0.93291731669266775</v>
      </c>
      <c r="DM118" s="31">
        <v>0.93740219092331767</v>
      </c>
      <c r="DN118" s="31">
        <v>0.90943043916091604</v>
      </c>
      <c r="DO118" s="31">
        <v>0.91035548686244205</v>
      </c>
      <c r="DP118" s="31">
        <v>0.91290824261275272</v>
      </c>
      <c r="DQ118" s="31">
        <v>0.90127388535031849</v>
      </c>
      <c r="DR118" s="31">
        <v>0.88503937007874012</v>
      </c>
      <c r="DS118" s="31">
        <v>0.91093749999999996</v>
      </c>
      <c r="DT118" s="31">
        <v>0.90909090909090906</v>
      </c>
      <c r="DU118" s="31">
        <v>0.90303030303030307</v>
      </c>
      <c r="DV118" s="31">
        <v>0.90466224243220938</v>
      </c>
      <c r="DW118" s="31">
        <v>0.88207547169811318</v>
      </c>
      <c r="DX118" s="31">
        <v>0.90737833594976447</v>
      </c>
      <c r="DY118" s="31">
        <v>0.87335526315789469</v>
      </c>
      <c r="DZ118" s="31">
        <v>0.84316770186335399</v>
      </c>
      <c r="EA118" s="31">
        <v>0.89655172413793105</v>
      </c>
      <c r="EB118" s="31">
        <v>0.91392801251956179</v>
      </c>
      <c r="EC118" s="31">
        <v>0.90824261275272167</v>
      </c>
      <c r="ED118" s="31">
        <v>0.88924273172562018</v>
      </c>
      <c r="EE118" s="31">
        <v>0.90749601275917069</v>
      </c>
      <c r="EF118" s="31">
        <v>0.884493670886076</v>
      </c>
      <c r="EG118" s="31">
        <v>0.88135593220338981</v>
      </c>
      <c r="EH118" s="31">
        <v>0.88580246913580252</v>
      </c>
      <c r="EI118" s="31">
        <v>0.93141945773524726</v>
      </c>
      <c r="EJ118" s="31">
        <v>0.92405063291139244</v>
      </c>
      <c r="EK118" s="31">
        <v>0.92452830188679247</v>
      </c>
      <c r="EL118" s="31">
        <v>0.90559235393112458</v>
      </c>
    </row>
    <row r="119" spans="38:142" x14ac:dyDescent="0.35">
      <c r="AL119" s="19" t="s">
        <v>158</v>
      </c>
      <c r="AM119" s="31">
        <v>0.93779160186625199</v>
      </c>
      <c r="AN119" s="31">
        <v>0.94245723172628304</v>
      </c>
      <c r="AO119" s="31">
        <v>0.91835147744945567</v>
      </c>
      <c r="AP119" s="31">
        <v>0.91757387247278388</v>
      </c>
      <c r="AQ119" s="31">
        <v>0.95489891135303262</v>
      </c>
      <c r="AR119" s="31">
        <v>0.94945567651632967</v>
      </c>
      <c r="AS119" s="31">
        <v>0.96267496111975115</v>
      </c>
      <c r="AT119" s="31">
        <v>0.94045767607198394</v>
      </c>
      <c r="AU119" s="31">
        <v>0.93934681181959567</v>
      </c>
      <c r="AV119" s="31">
        <v>0.93157076205287714</v>
      </c>
      <c r="AW119" s="31">
        <v>0.91290824261275272</v>
      </c>
      <c r="AX119" s="31">
        <v>0.91912908242612756</v>
      </c>
      <c r="AY119" s="31">
        <v>0.96034214618973557</v>
      </c>
      <c r="AZ119" s="31">
        <v>0.96267496111975115</v>
      </c>
      <c r="BA119" s="31">
        <v>0.97200622083981336</v>
      </c>
      <c r="BB119" s="31">
        <v>0.94256831815152198</v>
      </c>
      <c r="BC119" s="31">
        <v>0.89485627836611192</v>
      </c>
      <c r="BD119" s="31">
        <v>0.9120795107033639</v>
      </c>
      <c r="BE119" s="31">
        <v>0.89321128909229597</v>
      </c>
      <c r="BF119" s="31">
        <v>0.89549961861174676</v>
      </c>
      <c r="BG119" s="31">
        <v>0.93116490166414523</v>
      </c>
      <c r="BH119" s="31">
        <v>0.92431192660550454</v>
      </c>
      <c r="BI119" s="31">
        <v>0.91754916792738273</v>
      </c>
      <c r="BJ119" s="31">
        <v>0.9098103847100788</v>
      </c>
      <c r="BK119" s="31">
        <v>0.82074752097635395</v>
      </c>
      <c r="BL119" s="31">
        <v>0.86041189931350115</v>
      </c>
      <c r="BM119" s="31">
        <v>0.71472158657513352</v>
      </c>
      <c r="BN119" s="31">
        <v>0.75209763539282992</v>
      </c>
      <c r="BO119" s="31">
        <v>0.86193745232646835</v>
      </c>
      <c r="BP119" s="31">
        <v>0.85964912280701755</v>
      </c>
      <c r="BQ119" s="31">
        <v>0.86346300533943554</v>
      </c>
      <c r="BR119" s="31">
        <v>0.81900403181867709</v>
      </c>
      <c r="BS119" s="31">
        <v>0.85049580472921438</v>
      </c>
      <c r="BT119" s="31">
        <v>0.78032036613272315</v>
      </c>
      <c r="BU119" s="31">
        <v>0.83676582761250951</v>
      </c>
      <c r="BV119" s="31">
        <v>0.86041189931350115</v>
      </c>
      <c r="BW119" s="31">
        <v>0.86880244088482073</v>
      </c>
      <c r="BX119" s="31">
        <v>0.82684973302822273</v>
      </c>
      <c r="BY119" s="31">
        <v>0.84973302822273078</v>
      </c>
      <c r="BZ119" s="31">
        <v>0.83905415713196041</v>
      </c>
      <c r="CA119" s="31">
        <v>0.90160183066361554</v>
      </c>
      <c r="CB119" s="31">
        <v>0.8398169336384439</v>
      </c>
      <c r="CC119" s="31">
        <v>0.88482074752097639</v>
      </c>
      <c r="CD119" s="31">
        <v>0.87261632341723872</v>
      </c>
      <c r="CE119" s="31">
        <v>0.90770404271548433</v>
      </c>
      <c r="CF119" s="31">
        <v>0.88710907704042719</v>
      </c>
      <c r="CG119" s="31">
        <v>0.88863463005339438</v>
      </c>
      <c r="CH119" s="31">
        <v>0.88318622643565425</v>
      </c>
      <c r="CI119" s="31">
        <v>0.90770404271548433</v>
      </c>
      <c r="CJ119" s="31">
        <v>0.88939740655987798</v>
      </c>
      <c r="CK119" s="31">
        <v>0.8832951945080092</v>
      </c>
      <c r="CL119" s="31">
        <v>0.88939740655987798</v>
      </c>
      <c r="CM119" s="31">
        <v>0.89702517162471396</v>
      </c>
      <c r="CN119" s="31">
        <v>0.90999237223493512</v>
      </c>
      <c r="CO119" s="31">
        <v>0.88710907704042719</v>
      </c>
      <c r="CP119" s="31">
        <v>0.89484581017761788</v>
      </c>
      <c r="CQ119" s="31">
        <v>0.89778794813119756</v>
      </c>
      <c r="CR119" s="31">
        <v>0.89473684210526316</v>
      </c>
      <c r="CS119" s="31">
        <v>0.88405797101449279</v>
      </c>
      <c r="CT119" s="31">
        <v>0.89092295957284517</v>
      </c>
      <c r="CU119" s="31">
        <v>0.91304347826086951</v>
      </c>
      <c r="CV119" s="31">
        <v>0.91914569031273841</v>
      </c>
      <c r="CW119" s="31">
        <v>0.91151792524790232</v>
      </c>
      <c r="CX119" s="31">
        <v>0.90160183066361554</v>
      </c>
      <c r="CY119" s="31">
        <v>0.86270022883295194</v>
      </c>
      <c r="CZ119" s="31">
        <v>0.90770404271548433</v>
      </c>
      <c r="DA119" s="31">
        <v>0.85278413424866517</v>
      </c>
      <c r="DB119" s="31">
        <v>0.85507246376811596</v>
      </c>
      <c r="DC119" s="31">
        <v>0.8802440884820748</v>
      </c>
      <c r="DD119" s="31">
        <v>0.90922959572845152</v>
      </c>
      <c r="DE119" s="31">
        <v>0.89016018306636158</v>
      </c>
      <c r="DF119" s="31">
        <v>0.87969924812030076</v>
      </c>
      <c r="DG119" s="31">
        <v>0.91685736079328761</v>
      </c>
      <c r="DH119" s="31">
        <v>0.85888634630053395</v>
      </c>
      <c r="DI119" s="31">
        <v>0.89016018306636158</v>
      </c>
      <c r="DJ119" s="31">
        <v>0.86880244088482073</v>
      </c>
      <c r="DK119" s="31">
        <v>0.90389016018306634</v>
      </c>
      <c r="DL119" s="31">
        <v>0.8832951945080092</v>
      </c>
      <c r="DM119" s="31">
        <v>0.90465293668954994</v>
      </c>
      <c r="DN119" s="31">
        <v>0.88950637463223281</v>
      </c>
      <c r="DO119" s="31">
        <v>0.8832951945080092</v>
      </c>
      <c r="DP119" s="31">
        <v>0.881769641495042</v>
      </c>
      <c r="DQ119" s="31">
        <v>0.86422578184591914</v>
      </c>
      <c r="DR119" s="31">
        <v>0.85202135774218157</v>
      </c>
      <c r="DS119" s="31">
        <v>0.90846681922196793</v>
      </c>
      <c r="DT119" s="31">
        <v>0.91228070175438591</v>
      </c>
      <c r="DU119" s="31">
        <v>0.91609458428680401</v>
      </c>
      <c r="DV119" s="31">
        <v>0.88830772583633</v>
      </c>
      <c r="DW119" s="31">
        <v>0.8832951945080092</v>
      </c>
      <c r="DX119" s="31">
        <v>0.88405797101449279</v>
      </c>
      <c r="DY119" s="31">
        <v>0.84897025171624718</v>
      </c>
      <c r="DZ119" s="31">
        <v>0.85202135774218157</v>
      </c>
      <c r="EA119" s="31">
        <v>0.8764302059496567</v>
      </c>
      <c r="EB119" s="31">
        <v>0.89702517162471396</v>
      </c>
      <c r="EC119" s="31">
        <v>0.90617848970251713</v>
      </c>
      <c r="ED119" s="31">
        <v>0.87828266317968839</v>
      </c>
      <c r="EE119" s="31">
        <v>0.89016018306636158</v>
      </c>
      <c r="EF119" s="31">
        <v>0.87185354691075512</v>
      </c>
      <c r="EG119" s="31">
        <v>0.86803966437833713</v>
      </c>
      <c r="EH119" s="31">
        <v>0.87948131197559121</v>
      </c>
      <c r="EI119" s="31">
        <v>0.8787185354691075</v>
      </c>
      <c r="EJ119" s="31">
        <v>0.8825324180015256</v>
      </c>
      <c r="EK119" s="31">
        <v>0.8779557589626239</v>
      </c>
      <c r="EL119" s="31">
        <v>0.87839163125204311</v>
      </c>
    </row>
    <row r="120" spans="38:142" x14ac:dyDescent="0.35">
      <c r="AL120" s="19" t="s">
        <v>216</v>
      </c>
      <c r="AM120" s="31">
        <v>0.92778335005015045</v>
      </c>
      <c r="AN120" s="31">
        <v>0.91491491491491495</v>
      </c>
      <c r="AO120" s="31">
        <v>0.90826612903225812</v>
      </c>
      <c r="AP120" s="31">
        <v>0.91708796764408496</v>
      </c>
      <c r="AQ120" s="31">
        <v>0.91878172588832485</v>
      </c>
      <c r="AR120" s="31">
        <v>0.93286573146292584</v>
      </c>
      <c r="AS120" s="31">
        <v>0.93473895582329314</v>
      </c>
      <c r="AT120" s="31">
        <v>0.92206268211656461</v>
      </c>
      <c r="AU120" s="31">
        <v>0.9298597194388778</v>
      </c>
      <c r="AV120" s="31">
        <v>0.92252803261977578</v>
      </c>
      <c r="AW120" s="31">
        <v>0.9207622868605817</v>
      </c>
      <c r="AX120" s="31">
        <v>0.91600000000000004</v>
      </c>
      <c r="AY120" s="31">
        <v>0.92570281124497988</v>
      </c>
      <c r="AZ120" s="31">
        <v>0.92107892107892109</v>
      </c>
      <c r="BA120" s="31">
        <v>0.92292292292292288</v>
      </c>
      <c r="BB120" s="31">
        <v>0.92269352773800839</v>
      </c>
      <c r="BC120" s="31">
        <v>0.94201424211597151</v>
      </c>
      <c r="BD120" s="31">
        <v>0.91867469879518071</v>
      </c>
      <c r="BE120" s="31">
        <v>0.92181069958847739</v>
      </c>
      <c r="BF120" s="31">
        <v>0.91869918699186992</v>
      </c>
      <c r="BG120" s="31">
        <v>0.94219066937119678</v>
      </c>
      <c r="BH120" s="31">
        <v>0.93186372745490986</v>
      </c>
      <c r="BI120" s="31">
        <v>0.94383149448345038</v>
      </c>
      <c r="BJ120" s="31">
        <v>0.93129781697157965</v>
      </c>
      <c r="BK120" s="31">
        <v>0.86965376782077397</v>
      </c>
      <c r="BL120" s="31">
        <v>0.92719919110212334</v>
      </c>
      <c r="BM120" s="31">
        <v>0.82818930041152261</v>
      </c>
      <c r="BN120" s="31">
        <v>0.84591836734693882</v>
      </c>
      <c r="BO120" s="31">
        <v>0.90853658536585369</v>
      </c>
      <c r="BP120" s="31">
        <v>0.92198581560283688</v>
      </c>
      <c r="BQ120" s="31">
        <v>0.90927419354838712</v>
      </c>
      <c r="BR120" s="31">
        <v>0.8872510315997767</v>
      </c>
      <c r="BS120" s="31">
        <v>0.92470837751855783</v>
      </c>
      <c r="BT120" s="31">
        <v>0.88405797101449279</v>
      </c>
      <c r="BU120" s="31">
        <v>0.90200210748155951</v>
      </c>
      <c r="BV120" s="31">
        <v>0.90727081138040044</v>
      </c>
      <c r="BW120" s="31">
        <v>0.9291666666666667</v>
      </c>
      <c r="BX120" s="31">
        <v>0.89814814814814814</v>
      </c>
      <c r="BY120" s="31">
        <v>0.91632231404958675</v>
      </c>
      <c r="BZ120" s="31">
        <v>0.9088109137513446</v>
      </c>
      <c r="CA120" s="31">
        <v>0.93174431202600216</v>
      </c>
      <c r="CB120" s="31">
        <v>0.9015544041450777</v>
      </c>
      <c r="CC120" s="31">
        <v>0.92841880341880345</v>
      </c>
      <c r="CD120" s="31">
        <v>0.93770139634801286</v>
      </c>
      <c r="CE120" s="31">
        <v>0.93877551020408168</v>
      </c>
      <c r="CF120" s="31">
        <v>0.9219562955254943</v>
      </c>
      <c r="CG120" s="31">
        <v>0.91736401673640167</v>
      </c>
      <c r="CH120" s="31">
        <v>0.92535924834341043</v>
      </c>
      <c r="CI120" s="31">
        <v>0.90432098765432101</v>
      </c>
      <c r="CJ120" s="31">
        <v>0.93870967741935485</v>
      </c>
      <c r="CK120" s="31">
        <v>0.89698231009365248</v>
      </c>
      <c r="CL120" s="31">
        <v>0.89148073022312369</v>
      </c>
      <c r="CM120" s="31">
        <v>0.91313340227507755</v>
      </c>
      <c r="CN120" s="31">
        <v>0.917981072555205</v>
      </c>
      <c r="CO120" s="31">
        <v>0.91067761806981518</v>
      </c>
      <c r="CP120" s="31">
        <v>0.91046939975579277</v>
      </c>
      <c r="CQ120" s="31">
        <v>0.9117341640706127</v>
      </c>
      <c r="CR120" s="31">
        <v>0.8748728382502543</v>
      </c>
      <c r="CS120" s="31">
        <v>0.90103092783505156</v>
      </c>
      <c r="CT120" s="31">
        <v>0.92259414225941427</v>
      </c>
      <c r="CU120" s="31">
        <v>0.921875</v>
      </c>
      <c r="CV120" s="31">
        <v>0.90666666666666662</v>
      </c>
      <c r="CW120" s="31">
        <v>0.92291666666666672</v>
      </c>
      <c r="CX120" s="31">
        <v>0.90881291510695228</v>
      </c>
      <c r="CY120" s="31">
        <v>0.92024539877300615</v>
      </c>
      <c r="CZ120" s="31">
        <v>0.92474226804123716</v>
      </c>
      <c r="DA120" s="31">
        <v>0.91290983606557374</v>
      </c>
      <c r="DB120" s="31">
        <v>0.92315573770491799</v>
      </c>
      <c r="DC120" s="31">
        <v>0.89227642276422769</v>
      </c>
      <c r="DD120" s="31">
        <v>0.92731048805815164</v>
      </c>
      <c r="DE120" s="31">
        <v>0.90937178166838306</v>
      </c>
      <c r="DF120" s="31">
        <v>0.91571599043935681</v>
      </c>
      <c r="DG120" s="31">
        <v>0.9536290322580645</v>
      </c>
      <c r="DH120" s="31">
        <v>0.92105263157894735</v>
      </c>
      <c r="DI120" s="31">
        <v>0.93154761904761907</v>
      </c>
      <c r="DJ120" s="31">
        <v>0.92697176241480039</v>
      </c>
      <c r="DK120" s="31">
        <v>0.95204795204795201</v>
      </c>
      <c r="DL120" s="31">
        <v>0.95499999999999996</v>
      </c>
      <c r="DM120" s="31">
        <v>0.95613160518444662</v>
      </c>
      <c r="DN120" s="31">
        <v>0.94234008607597564</v>
      </c>
      <c r="DO120" s="31">
        <v>0.93984220907297833</v>
      </c>
      <c r="DP120" s="31">
        <v>0.94227005870841485</v>
      </c>
      <c r="DQ120" s="31">
        <v>0.94158415841584153</v>
      </c>
      <c r="DR120" s="31">
        <v>0.93484698914116482</v>
      </c>
      <c r="DS120" s="31">
        <v>0.94094488188976377</v>
      </c>
      <c r="DT120" s="31">
        <v>0.94803921568627447</v>
      </c>
      <c r="DU120" s="31">
        <v>0.94669299111549854</v>
      </c>
      <c r="DV120" s="31">
        <v>0.94203150057570528</v>
      </c>
      <c r="DW120" s="31">
        <v>0.95995995995995997</v>
      </c>
      <c r="DX120" s="31">
        <v>0.95323383084577118</v>
      </c>
      <c r="DY120" s="31">
        <v>0.95837462834489595</v>
      </c>
      <c r="DZ120" s="31">
        <v>0.94135188866799202</v>
      </c>
      <c r="EA120" s="31">
        <v>0.96127110228401191</v>
      </c>
      <c r="EB120" s="31">
        <v>0.96211365902293122</v>
      </c>
      <c r="EC120" s="31">
        <v>0.95928500496524327</v>
      </c>
      <c r="ED120" s="31">
        <v>0.95651286772725785</v>
      </c>
      <c r="EE120" s="31">
        <v>0.93830845771144278</v>
      </c>
      <c r="EF120" s="31">
        <v>0.95233366434955313</v>
      </c>
      <c r="EG120" s="31">
        <v>0.94211576846307388</v>
      </c>
      <c r="EH120" s="31">
        <v>0.94899999999999995</v>
      </c>
      <c r="EI120" s="31">
        <v>0.9564336372847011</v>
      </c>
      <c r="EJ120" s="31">
        <v>0.94825870646766164</v>
      </c>
      <c r="EK120" s="31">
        <v>0.94810379241516962</v>
      </c>
      <c r="EL120" s="31">
        <v>0.94779343238451463</v>
      </c>
    </row>
    <row r="121" spans="38:142" x14ac:dyDescent="0.35">
      <c r="AL121" s="19" t="s">
        <v>337</v>
      </c>
      <c r="AM121" s="31">
        <v>0.9624853458382181</v>
      </c>
      <c r="AN121" s="31">
        <v>0.96068075117370888</v>
      </c>
      <c r="AO121" s="31">
        <v>0.95478881618084477</v>
      </c>
      <c r="AP121" s="31">
        <v>0.94572271386430673</v>
      </c>
      <c r="AQ121" s="31">
        <v>0.96594245449207283</v>
      </c>
      <c r="AR121" s="31">
        <v>0.96523754345307067</v>
      </c>
      <c r="AS121" s="31">
        <v>0.96650998824911871</v>
      </c>
      <c r="AT121" s="31">
        <v>0.96019537332162008</v>
      </c>
      <c r="AU121" s="31">
        <v>0.96149358226371062</v>
      </c>
      <c r="AV121" s="31">
        <v>0.95981362842166573</v>
      </c>
      <c r="AW121" s="31">
        <v>0.95129107981220662</v>
      </c>
      <c r="AX121" s="31">
        <v>0.95017793594306055</v>
      </c>
      <c r="AY121" s="31">
        <v>0.9627690517742874</v>
      </c>
      <c r="AZ121" s="31">
        <v>0.95106505469199765</v>
      </c>
      <c r="BA121" s="31">
        <v>0.96633778293673822</v>
      </c>
      <c r="BB121" s="31">
        <v>0.95756401654909529</v>
      </c>
      <c r="BC121" s="31">
        <v>0.94148936170212771</v>
      </c>
      <c r="BD121" s="31">
        <v>0.95480880648899191</v>
      </c>
      <c r="BE121" s="31">
        <v>0.90860215053763438</v>
      </c>
      <c r="BF121" s="31">
        <v>0.90326409495548965</v>
      </c>
      <c r="BG121" s="31">
        <v>0.95285798467884497</v>
      </c>
      <c r="BH121" s="31">
        <v>0.96160558464223389</v>
      </c>
      <c r="BI121" s="31">
        <v>0.95143358689291979</v>
      </c>
      <c r="BJ121" s="31">
        <v>0.93915165284260593</v>
      </c>
      <c r="BK121" s="31">
        <v>0.86764705882352944</v>
      </c>
      <c r="BL121" s="31">
        <v>0.9349112426035503</v>
      </c>
      <c r="BM121" s="31">
        <v>0.80701754385964908</v>
      </c>
      <c r="BN121" s="31">
        <v>0.82341891045710702</v>
      </c>
      <c r="BO121" s="31">
        <v>0.91056422569027606</v>
      </c>
      <c r="BP121" s="31">
        <v>0.93772241992882566</v>
      </c>
      <c r="BQ121" s="31">
        <v>0.92806183115338881</v>
      </c>
      <c r="BR121" s="31">
        <v>0.8870490332166181</v>
      </c>
      <c r="BS121" s="31">
        <v>0.91876095850379891</v>
      </c>
      <c r="BT121" s="31">
        <v>0.88353162179085787</v>
      </c>
      <c r="BU121" s="31">
        <v>0.89296452194828624</v>
      </c>
      <c r="BV121" s="31">
        <v>0.92623941958887546</v>
      </c>
      <c r="BW121" s="31">
        <v>0.93034238488783938</v>
      </c>
      <c r="BX121" s="31">
        <v>0.90493827160493823</v>
      </c>
      <c r="BY121" s="31">
        <v>0.92822677925211095</v>
      </c>
      <c r="BZ121" s="31">
        <v>0.91214342251095815</v>
      </c>
      <c r="CA121" s="31">
        <v>0.94324631101021561</v>
      </c>
      <c r="CB121" s="31">
        <v>0.93154761904761907</v>
      </c>
      <c r="CC121" s="31">
        <v>0.93505747126436778</v>
      </c>
      <c r="CD121" s="31">
        <v>0.94371051120045946</v>
      </c>
      <c r="CE121" s="31">
        <v>0.94324631101021561</v>
      </c>
      <c r="CF121" s="31">
        <v>0.94818652849740936</v>
      </c>
      <c r="CG121" s="31">
        <v>0.94555873925501432</v>
      </c>
      <c r="CH121" s="31">
        <v>0.94150764161218592</v>
      </c>
      <c r="CI121" s="31">
        <v>0.94507462686567167</v>
      </c>
      <c r="CJ121" s="31">
        <v>0.95195025438100622</v>
      </c>
      <c r="CK121" s="31">
        <v>0.934001178550383</v>
      </c>
      <c r="CL121" s="31">
        <v>0.93273809523809526</v>
      </c>
      <c r="CM121" s="31">
        <v>0.94322885866351269</v>
      </c>
      <c r="CN121" s="31">
        <v>0.94168096054888506</v>
      </c>
      <c r="CO121" s="31">
        <v>0.95031773541305609</v>
      </c>
      <c r="CP121" s="31">
        <v>0.94271310138008713</v>
      </c>
      <c r="CQ121" s="31">
        <v>0.93337408312958436</v>
      </c>
      <c r="CR121" s="31">
        <v>0.94253554502369663</v>
      </c>
      <c r="CS121" s="31">
        <v>0.91702519975414876</v>
      </c>
      <c r="CT121" s="31">
        <v>0.92939744370054778</v>
      </c>
      <c r="CU121" s="31">
        <v>0.95249549007817202</v>
      </c>
      <c r="CV121" s="31">
        <v>0.95292014302741357</v>
      </c>
      <c r="CW121" s="31">
        <v>0.95646988670244482</v>
      </c>
      <c r="CX121" s="31">
        <v>0.94060254163085832</v>
      </c>
      <c r="CY121" s="31">
        <v>0.95997645673925835</v>
      </c>
      <c r="CZ121" s="31">
        <v>0.94536817102137771</v>
      </c>
      <c r="DA121" s="31">
        <v>0.94348602022605588</v>
      </c>
      <c r="DB121" s="31">
        <v>0.94856459330143539</v>
      </c>
      <c r="DC121" s="31">
        <v>0.95747194329592444</v>
      </c>
      <c r="DD121" s="31">
        <v>0.95111896348645464</v>
      </c>
      <c r="DE121" s="31">
        <v>0.96026097271648869</v>
      </c>
      <c r="DF121" s="31">
        <v>0.95232101725528495</v>
      </c>
      <c r="DG121" s="31">
        <v>0.94563331405436668</v>
      </c>
      <c r="DH121" s="31">
        <v>0.95134818288393908</v>
      </c>
      <c r="DI121" s="31">
        <v>0.9371362048894063</v>
      </c>
      <c r="DJ121" s="31">
        <v>0.92516205067766644</v>
      </c>
      <c r="DK121" s="31">
        <v>0.94428322692977362</v>
      </c>
      <c r="DL121" s="31">
        <v>0.95358401880141008</v>
      </c>
      <c r="DM121" s="31">
        <v>0.93968066232998226</v>
      </c>
      <c r="DN121" s="31">
        <v>0.94240395150950651</v>
      </c>
      <c r="DO121" s="31">
        <v>0.93630573248407645</v>
      </c>
      <c r="DP121" s="31">
        <v>0.93981481481481477</v>
      </c>
      <c r="DQ121" s="31">
        <v>0.93582263710618441</v>
      </c>
      <c r="DR121" s="31">
        <v>0.93133802816901412</v>
      </c>
      <c r="DS121" s="31">
        <v>0.94460473167916903</v>
      </c>
      <c r="DT121" s="31">
        <v>0.94457274826789839</v>
      </c>
      <c r="DU121" s="31">
        <v>0.93325594892629138</v>
      </c>
      <c r="DV121" s="31">
        <v>0.93795923449249263</v>
      </c>
      <c r="DW121" s="31">
        <v>0.94042799305957203</v>
      </c>
      <c r="DX121" s="31">
        <v>0.94627383015597921</v>
      </c>
      <c r="DY121" s="31">
        <v>0.932663910218547</v>
      </c>
      <c r="DZ121" s="31">
        <v>0.94055326662742789</v>
      </c>
      <c r="EA121" s="31">
        <v>0.95031773541305609</v>
      </c>
      <c r="EB121" s="31">
        <v>0.94994179278230506</v>
      </c>
      <c r="EC121" s="31">
        <v>0.95210617426428157</v>
      </c>
      <c r="ED121" s="31">
        <v>0.94461210036016718</v>
      </c>
      <c r="EE121" s="31">
        <v>0.93406593406593408</v>
      </c>
      <c r="EF121" s="31">
        <v>0.94926253687315632</v>
      </c>
      <c r="EG121" s="31">
        <v>0.93501170960187352</v>
      </c>
      <c r="EH121" s="31">
        <v>0.93247962747380675</v>
      </c>
      <c r="EI121" s="31">
        <v>0.94593023255813957</v>
      </c>
      <c r="EJ121" s="31">
        <v>0.9419695193434936</v>
      </c>
      <c r="EK121" s="31">
        <v>0.94544399303540338</v>
      </c>
      <c r="EL121" s="31">
        <v>0.94059479327882956</v>
      </c>
    </row>
    <row r="122" spans="38:142" x14ac:dyDescent="0.35">
      <c r="AL122" s="19" t="s">
        <v>159</v>
      </c>
      <c r="AM122" s="31">
        <v>0.97388059701492535</v>
      </c>
      <c r="AN122" s="31">
        <v>0.94328922495274103</v>
      </c>
      <c r="AO122" s="31">
        <v>0.94953271028037378</v>
      </c>
      <c r="AP122" s="31">
        <v>0.95724907063197029</v>
      </c>
      <c r="AQ122" s="31">
        <v>0.96616541353383456</v>
      </c>
      <c r="AR122" s="31">
        <v>0.94905660377358492</v>
      </c>
      <c r="AS122" s="31">
        <v>0.95318352059925093</v>
      </c>
      <c r="AT122" s="31">
        <v>0.95605102011238297</v>
      </c>
      <c r="AU122" s="31">
        <v>0.94765342960288812</v>
      </c>
      <c r="AV122" s="31">
        <v>0.96125461254612543</v>
      </c>
      <c r="AW122" s="31">
        <v>0.94936708860759489</v>
      </c>
      <c r="AX122" s="31">
        <v>0.96014492753623193</v>
      </c>
      <c r="AY122" s="31">
        <v>0.95620437956204385</v>
      </c>
      <c r="AZ122" s="31">
        <v>0.95818181818181813</v>
      </c>
      <c r="BA122" s="31">
        <v>0.95636363636363642</v>
      </c>
      <c r="BB122" s="31">
        <v>0.95559569891433405</v>
      </c>
      <c r="BC122" s="31">
        <v>0.93372319688109162</v>
      </c>
      <c r="BD122" s="31">
        <v>0.96014492753623193</v>
      </c>
      <c r="BE122" s="31">
        <v>0.90410958904109584</v>
      </c>
      <c r="BF122" s="31">
        <v>0.8571428571428571</v>
      </c>
      <c r="BG122" s="31">
        <v>0.9460431654676259</v>
      </c>
      <c r="BH122" s="31">
        <v>0.97267759562841527</v>
      </c>
      <c r="BI122" s="31">
        <v>0.94774774774774773</v>
      </c>
      <c r="BJ122" s="31">
        <v>0.93165558277786642</v>
      </c>
      <c r="BK122" s="31">
        <v>0.88461538461538458</v>
      </c>
      <c r="BL122" s="31">
        <v>0.89369369369369367</v>
      </c>
      <c r="BM122" s="31">
        <v>0.81868131868131866</v>
      </c>
      <c r="BN122" s="31">
        <v>0.82568807339449546</v>
      </c>
      <c r="BO122" s="31">
        <v>0.90630630630630626</v>
      </c>
      <c r="BP122" s="31">
        <v>0.90450450450450448</v>
      </c>
      <c r="BQ122" s="31">
        <v>0.91891891891891897</v>
      </c>
      <c r="BR122" s="31">
        <v>0.87891545715923169</v>
      </c>
      <c r="BS122" s="31">
        <v>0.91009174311926611</v>
      </c>
      <c r="BT122" s="31">
        <v>0.84036697247706427</v>
      </c>
      <c r="BU122" s="31">
        <v>0.90073529411764708</v>
      </c>
      <c r="BV122" s="31">
        <v>0.95211786372007368</v>
      </c>
      <c r="BW122" s="31">
        <v>0.92279411764705888</v>
      </c>
      <c r="BX122" s="31">
        <v>0.92110091743119271</v>
      </c>
      <c r="BY122" s="31">
        <v>0.94972067039106145</v>
      </c>
      <c r="BZ122" s="31">
        <v>0.91384679698619475</v>
      </c>
      <c r="CA122" s="31">
        <v>0.92883895131086147</v>
      </c>
      <c r="CB122" s="31">
        <v>0.94021739130434778</v>
      </c>
      <c r="CC122" s="31">
        <v>0.9135338345864662</v>
      </c>
      <c r="CD122" s="31">
        <v>0.90858208955223885</v>
      </c>
      <c r="CE122" s="31">
        <v>0.93445692883895126</v>
      </c>
      <c r="CF122" s="31">
        <v>0.94736842105263153</v>
      </c>
      <c r="CG122" s="31">
        <v>0.9476635514018692</v>
      </c>
      <c r="CH122" s="31">
        <v>0.93152302400676668</v>
      </c>
      <c r="CI122" s="31">
        <v>0.95044247787610614</v>
      </c>
      <c r="CJ122" s="31">
        <v>0.94075403949730696</v>
      </c>
      <c r="CK122" s="31">
        <v>0.9289520426287744</v>
      </c>
      <c r="CL122" s="31">
        <v>0.91281138790035588</v>
      </c>
      <c r="CM122" s="31">
        <v>0.95053003533568903</v>
      </c>
      <c r="CN122" s="31">
        <v>0.95914742451154533</v>
      </c>
      <c r="CO122" s="31">
        <v>0.95752212389380531</v>
      </c>
      <c r="CP122" s="31">
        <v>0.9428799330919404</v>
      </c>
      <c r="CQ122" s="31">
        <v>0.92746113989637302</v>
      </c>
      <c r="CR122" s="31">
        <v>0.94945848375451258</v>
      </c>
      <c r="CS122" s="31">
        <v>0.92176870748299322</v>
      </c>
      <c r="CT122" s="31">
        <v>0.91438356164383561</v>
      </c>
      <c r="CU122" s="31">
        <v>0.91130434782608694</v>
      </c>
      <c r="CV122" s="31">
        <v>0.94107142857142856</v>
      </c>
      <c r="CW122" s="31">
        <v>0.9256055363321799</v>
      </c>
      <c r="CX122" s="31">
        <v>0.92729331507248702</v>
      </c>
      <c r="CY122" s="31">
        <v>0.95320623916811087</v>
      </c>
      <c r="CZ122" s="31">
        <v>0.95682210708117443</v>
      </c>
      <c r="DA122" s="31">
        <v>0.96729776247848542</v>
      </c>
      <c r="DB122" s="31">
        <v>0.92027729636048528</v>
      </c>
      <c r="DC122" s="31">
        <v>0.95493934142114389</v>
      </c>
      <c r="DD122" s="31">
        <v>0.94627383015597921</v>
      </c>
      <c r="DE122" s="31">
        <v>0.94974003466204504</v>
      </c>
      <c r="DF122" s="31">
        <v>0.94979380161820359</v>
      </c>
      <c r="DG122" s="31">
        <v>0.95368782161234988</v>
      </c>
      <c r="DH122" s="31">
        <v>0.96729776247848542</v>
      </c>
      <c r="DI122" s="31">
        <v>0.97084048027444259</v>
      </c>
      <c r="DJ122" s="31">
        <v>0.92400690846286704</v>
      </c>
      <c r="DK122" s="31">
        <v>0.97084048027444259</v>
      </c>
      <c r="DL122" s="31">
        <v>0.96404109589041098</v>
      </c>
      <c r="DM122" s="31">
        <v>0.95524956970740105</v>
      </c>
      <c r="DN122" s="31">
        <v>0.9579948741000569</v>
      </c>
      <c r="DO122" s="31">
        <v>0.94107142857142856</v>
      </c>
      <c r="DP122" s="31">
        <v>0.95854922279792742</v>
      </c>
      <c r="DQ122" s="31">
        <v>0.91428571428571426</v>
      </c>
      <c r="DR122" s="31">
        <v>0.91428571428571426</v>
      </c>
      <c r="DS122" s="31">
        <v>0.95697074010327021</v>
      </c>
      <c r="DT122" s="31">
        <v>0.93782383419689119</v>
      </c>
      <c r="DU122" s="31">
        <v>0.96048109965635742</v>
      </c>
      <c r="DV122" s="31">
        <v>0.94049539341390065</v>
      </c>
      <c r="DW122" s="31">
        <v>0.94821428571428568</v>
      </c>
      <c r="DX122" s="31">
        <v>0.93928571428571428</v>
      </c>
      <c r="DY122" s="31">
        <v>0.91504424778761062</v>
      </c>
      <c r="DZ122" s="31">
        <v>0.90088495575221239</v>
      </c>
      <c r="EA122" s="31">
        <v>0.9642857142857143</v>
      </c>
      <c r="EB122" s="31">
        <v>0.9464285714285714</v>
      </c>
      <c r="EC122" s="31">
        <v>0.95714285714285718</v>
      </c>
      <c r="ED122" s="31">
        <v>0.93875519234242366</v>
      </c>
      <c r="EE122" s="31">
        <v>0.92618629173989453</v>
      </c>
      <c r="EF122" s="31">
        <v>0.93274336283185844</v>
      </c>
      <c r="EG122" s="31">
        <v>0.9226713532513181</v>
      </c>
      <c r="EH122" s="31">
        <v>0.91739894551845347</v>
      </c>
      <c r="EI122" s="31">
        <v>0.9097345132743363</v>
      </c>
      <c r="EJ122" s="31">
        <v>0.95044247787610614</v>
      </c>
      <c r="EK122" s="31">
        <v>0.95053003533568903</v>
      </c>
      <c r="EL122" s="31">
        <v>0.92995813997537946</v>
      </c>
    </row>
    <row r="123" spans="38:142" x14ac:dyDescent="0.35">
      <c r="AL123" s="19" t="s">
        <v>290</v>
      </c>
      <c r="AM123" s="31">
        <v>0.91695501730103801</v>
      </c>
      <c r="AN123" s="31">
        <v>0.91736930860033727</v>
      </c>
      <c r="AO123" s="31">
        <v>0.89756944444444442</v>
      </c>
      <c r="AP123" s="31">
        <v>0.9069373942470389</v>
      </c>
      <c r="AQ123" s="31">
        <v>0.92119089316987746</v>
      </c>
      <c r="AR123" s="31">
        <v>0.90277777777777779</v>
      </c>
      <c r="AS123" s="31">
        <v>0.91578947368421049</v>
      </c>
      <c r="AT123" s="31">
        <v>0.9112270441749607</v>
      </c>
      <c r="AU123" s="31">
        <v>0.92268041237113407</v>
      </c>
      <c r="AV123" s="31">
        <v>0.92268907563025215</v>
      </c>
      <c r="AW123" s="31">
        <v>0.90782608695652178</v>
      </c>
      <c r="AX123" s="31">
        <v>0.9032815198618307</v>
      </c>
      <c r="AY123" s="31">
        <v>0.92173913043478262</v>
      </c>
      <c r="AZ123" s="31">
        <v>0.91311754684838164</v>
      </c>
      <c r="BA123" s="31">
        <v>0.91973244147157196</v>
      </c>
      <c r="BB123" s="31">
        <v>0.91586660193921077</v>
      </c>
      <c r="BC123" s="31">
        <v>0.90509666080843587</v>
      </c>
      <c r="BD123" s="31">
        <v>0.91537132987910186</v>
      </c>
      <c r="BE123" s="31">
        <v>0.88235294117647056</v>
      </c>
      <c r="BF123" s="31">
        <v>0.87588652482269502</v>
      </c>
      <c r="BG123" s="31">
        <v>0.91549295774647887</v>
      </c>
      <c r="BH123" s="31">
        <v>0.92077464788732399</v>
      </c>
      <c r="BI123" s="31">
        <v>0.89703315881326351</v>
      </c>
      <c r="BJ123" s="31">
        <v>0.90171546016196713</v>
      </c>
      <c r="BK123" s="31">
        <v>0.80430879712746861</v>
      </c>
      <c r="BL123" s="31">
        <v>0.90780141843971629</v>
      </c>
      <c r="BM123" s="31">
        <v>0.70106761565836295</v>
      </c>
      <c r="BN123" s="31">
        <v>0.7342908438061041</v>
      </c>
      <c r="BO123" s="31">
        <v>0.81753130590339895</v>
      </c>
      <c r="BP123" s="31">
        <v>0.90718038528896672</v>
      </c>
      <c r="BQ123" s="31">
        <v>0.84848484848484851</v>
      </c>
      <c r="BR123" s="31">
        <v>0.81723788781555229</v>
      </c>
      <c r="BS123" s="31">
        <v>0.8476702508960573</v>
      </c>
      <c r="BT123" s="31">
        <v>0.77264653641207814</v>
      </c>
      <c r="BU123" s="31">
        <v>0.82427536231884058</v>
      </c>
      <c r="BV123" s="31">
        <v>0.83304042179261861</v>
      </c>
      <c r="BW123" s="31">
        <v>0.84078711985688726</v>
      </c>
      <c r="BX123" s="31">
        <v>0.80782918149466187</v>
      </c>
      <c r="BY123" s="31">
        <v>0.8151408450704225</v>
      </c>
      <c r="BZ123" s="31">
        <v>0.82019853112022378</v>
      </c>
      <c r="CA123" s="31">
        <v>0.95143884892086328</v>
      </c>
      <c r="CB123" s="31">
        <v>0.84504504504504507</v>
      </c>
      <c r="CC123" s="31">
        <v>0.91605839416058399</v>
      </c>
      <c r="CD123" s="31">
        <v>0.92526690391459077</v>
      </c>
      <c r="CE123" s="31">
        <v>0.88946459412780654</v>
      </c>
      <c r="CF123" s="31">
        <v>0.8850174216027874</v>
      </c>
      <c r="CG123" s="31">
        <v>0.88062283737024216</v>
      </c>
      <c r="CH123" s="31">
        <v>0.8989877207345599</v>
      </c>
      <c r="CI123" s="31">
        <v>0.90501792114695345</v>
      </c>
      <c r="CJ123" s="31">
        <v>0.95414462081128748</v>
      </c>
      <c r="CK123" s="31">
        <v>0.89692585895117538</v>
      </c>
      <c r="CL123" s="31">
        <v>0.89145907473309605</v>
      </c>
      <c r="CM123" s="31">
        <v>0.93097345132743359</v>
      </c>
      <c r="CN123" s="31">
        <v>0.9398230088495575</v>
      </c>
      <c r="CO123" s="31">
        <v>0.91785714285714282</v>
      </c>
      <c r="CP123" s="31">
        <v>0.91945729695380662</v>
      </c>
      <c r="CQ123" s="31">
        <v>0.88729874776386408</v>
      </c>
      <c r="CR123" s="31">
        <v>0.9119718309859155</v>
      </c>
      <c r="CS123" s="31">
        <v>0.8844765342960289</v>
      </c>
      <c r="CT123" s="31">
        <v>0.89839572192513373</v>
      </c>
      <c r="CU123" s="31">
        <v>0.91234347048300535</v>
      </c>
      <c r="CV123" s="31">
        <v>0.9341637010676157</v>
      </c>
      <c r="CW123" s="31">
        <v>0.93428063943161632</v>
      </c>
      <c r="CX123" s="31">
        <v>0.90899009227902561</v>
      </c>
      <c r="CY123" s="31">
        <v>0.92432432432432432</v>
      </c>
      <c r="CZ123" s="31">
        <v>0.92226148409893993</v>
      </c>
      <c r="DA123" s="31">
        <v>0.93333333333333335</v>
      </c>
      <c r="DB123" s="31">
        <v>0.92349726775956287</v>
      </c>
      <c r="DC123" s="31">
        <v>0.93705035971223016</v>
      </c>
      <c r="DD123" s="31">
        <v>0.95169946332737032</v>
      </c>
      <c r="DE123" s="31">
        <v>0.9425493716337523</v>
      </c>
      <c r="DF123" s="31">
        <v>0.9335308005985018</v>
      </c>
      <c r="DG123" s="31">
        <v>0.9387387387387387</v>
      </c>
      <c r="DH123" s="31">
        <v>0.94066317626527052</v>
      </c>
      <c r="DI123" s="31">
        <v>0.93321299638989175</v>
      </c>
      <c r="DJ123" s="31">
        <v>0.92416225749559078</v>
      </c>
      <c r="DK123" s="31">
        <v>0.93989071038251371</v>
      </c>
      <c r="DL123" s="31">
        <v>0.95035460992907805</v>
      </c>
      <c r="DM123" s="31">
        <v>0.93829401088929221</v>
      </c>
      <c r="DN123" s="31">
        <v>0.93790235715576797</v>
      </c>
      <c r="DO123" s="31">
        <v>0.93392857142857144</v>
      </c>
      <c r="DP123" s="31">
        <v>0.9474605954465849</v>
      </c>
      <c r="DQ123" s="31">
        <v>0.91061452513966479</v>
      </c>
      <c r="DR123" s="31">
        <v>0.92513368983957223</v>
      </c>
      <c r="DS123" s="31">
        <v>0.9532374100719424</v>
      </c>
      <c r="DT123" s="31">
        <v>0.96283185840707963</v>
      </c>
      <c r="DU123" s="31">
        <v>0.93128390596745025</v>
      </c>
      <c r="DV123" s="31">
        <v>0.93778436518583785</v>
      </c>
      <c r="DW123" s="31">
        <v>0.94269870609981521</v>
      </c>
      <c r="DX123" s="31">
        <v>0.94159292035398234</v>
      </c>
      <c r="DY123" s="31">
        <v>0.89463955637707948</v>
      </c>
      <c r="DZ123" s="31">
        <v>0.91391941391941389</v>
      </c>
      <c r="EA123" s="31">
        <v>0.96103896103896103</v>
      </c>
      <c r="EB123" s="31">
        <v>0.95878136200716846</v>
      </c>
      <c r="EC123" s="31">
        <v>0.95289855072463769</v>
      </c>
      <c r="ED123" s="31">
        <v>0.93793849578872268</v>
      </c>
      <c r="EE123" s="31">
        <v>0.92164179104477617</v>
      </c>
      <c r="EF123" s="31">
        <v>0.91956124314442411</v>
      </c>
      <c r="EG123" s="31">
        <v>0.86988847583643125</v>
      </c>
      <c r="EH123" s="31">
        <v>0.88475836431226762</v>
      </c>
      <c r="EI123" s="31">
        <v>0.92364990689013038</v>
      </c>
      <c r="EJ123" s="31">
        <v>0.94363636363636361</v>
      </c>
      <c r="EK123" s="31">
        <v>0.91094619666048238</v>
      </c>
      <c r="EL123" s="31">
        <v>0.91058319164641077</v>
      </c>
    </row>
    <row r="124" spans="38:142" x14ac:dyDescent="0.35">
      <c r="AL124" s="19" t="s">
        <v>160</v>
      </c>
      <c r="AM124" s="31">
        <v>0.84801136363636365</v>
      </c>
      <c r="AN124" s="31">
        <v>0.87556221889055474</v>
      </c>
      <c r="AO124" s="31">
        <v>0.86090775988286972</v>
      </c>
      <c r="AP124" s="31">
        <v>0.87390029325513197</v>
      </c>
      <c r="AQ124" s="31">
        <v>0.86657101865136299</v>
      </c>
      <c r="AR124" s="31">
        <v>0.87445255474452555</v>
      </c>
      <c r="AS124" s="31">
        <v>0.86459802538787023</v>
      </c>
      <c r="AT124" s="31">
        <v>0.8662861763498112</v>
      </c>
      <c r="AU124" s="31">
        <v>0.87120115774240237</v>
      </c>
      <c r="AV124" s="31">
        <v>0.88142857142857145</v>
      </c>
      <c r="AW124" s="31">
        <v>0.83559577677224739</v>
      </c>
      <c r="AX124" s="31">
        <v>0.82608695652173914</v>
      </c>
      <c r="AY124" s="31">
        <v>0.88555078683834043</v>
      </c>
      <c r="AZ124" s="31">
        <v>0.89813486370157825</v>
      </c>
      <c r="BA124" s="31">
        <v>0.87801418439716317</v>
      </c>
      <c r="BB124" s="31">
        <v>0.86800175677172031</v>
      </c>
      <c r="BC124" s="31">
        <v>0.84769230769230774</v>
      </c>
      <c r="BD124" s="31">
        <v>0.86576168929110109</v>
      </c>
      <c r="BE124" s="31">
        <v>0.80834621329211742</v>
      </c>
      <c r="BF124" s="31">
        <v>0.85466034755134279</v>
      </c>
      <c r="BG124" s="31">
        <v>0.88069073783359497</v>
      </c>
      <c r="BH124" s="31">
        <v>0.87537537537537535</v>
      </c>
      <c r="BI124" s="31">
        <v>0.86342943854324739</v>
      </c>
      <c r="BJ124" s="31">
        <v>0.85656515851129811</v>
      </c>
      <c r="BK124" s="31">
        <v>0.77845220030349016</v>
      </c>
      <c r="BL124" s="31">
        <v>0.83132530120481929</v>
      </c>
      <c r="BM124" s="31">
        <v>0.69354838709677424</v>
      </c>
      <c r="BN124" s="31">
        <v>0.70486656200941911</v>
      </c>
      <c r="BO124" s="31">
        <v>0.79273827534039332</v>
      </c>
      <c r="BP124" s="31">
        <v>0.84696969696969693</v>
      </c>
      <c r="BQ124" s="31">
        <v>0.82082695252679938</v>
      </c>
      <c r="BR124" s="31">
        <v>0.78124676792162739</v>
      </c>
      <c r="BS124" s="31">
        <v>0.87581699346405228</v>
      </c>
      <c r="BT124" s="31">
        <v>0.60869565217391308</v>
      </c>
      <c r="BU124" s="31">
        <v>0.87296416938110755</v>
      </c>
      <c r="BV124" s="31">
        <v>0.87804878048780488</v>
      </c>
      <c r="BW124" s="31">
        <v>0.92105263157894735</v>
      </c>
      <c r="BX124" s="31">
        <v>0.823240589198036</v>
      </c>
      <c r="BY124" s="31">
        <v>0.84504792332268375</v>
      </c>
      <c r="BZ124" s="31">
        <v>0.83212381994379214</v>
      </c>
      <c r="CA124" s="31">
        <v>0.86994219653179194</v>
      </c>
      <c r="CB124" s="31">
        <v>0.8935483870967742</v>
      </c>
      <c r="CC124" s="31">
        <v>0.86032689450222888</v>
      </c>
      <c r="CD124" s="31">
        <v>0.86317321688500726</v>
      </c>
      <c r="CE124" s="31">
        <v>0.87087517934002867</v>
      </c>
      <c r="CF124" s="31">
        <v>0.86737804878048785</v>
      </c>
      <c r="CG124" s="31">
        <v>0.86409155937052928</v>
      </c>
      <c r="CH124" s="31">
        <v>0.86990506892954989</v>
      </c>
      <c r="CI124" s="31">
        <v>0.84241531664212077</v>
      </c>
      <c r="CJ124" s="31">
        <v>0.8364963503649635</v>
      </c>
      <c r="CK124" s="31">
        <v>0.80305343511450378</v>
      </c>
      <c r="CL124" s="31">
        <v>0.81047765793528503</v>
      </c>
      <c r="CM124" s="31">
        <v>0.86552217453505009</v>
      </c>
      <c r="CN124" s="31">
        <v>0.86211901306240923</v>
      </c>
      <c r="CO124" s="31">
        <v>0.87215909090909094</v>
      </c>
      <c r="CP124" s="31">
        <v>0.84174900550906029</v>
      </c>
      <c r="CQ124" s="31">
        <v>0.86562499999999998</v>
      </c>
      <c r="CR124" s="31">
        <v>0.86065573770491799</v>
      </c>
      <c r="CS124" s="31">
        <v>0.85895404120443741</v>
      </c>
      <c r="CT124" s="31">
        <v>0.86956521739130432</v>
      </c>
      <c r="CU124" s="31">
        <v>0.84662576687116564</v>
      </c>
      <c r="CV124" s="31">
        <v>0.85225505443234839</v>
      </c>
      <c r="CW124" s="31">
        <v>0.84662576687116564</v>
      </c>
      <c r="CX124" s="31">
        <v>0.85718665492504853</v>
      </c>
      <c r="CY124" s="31">
        <v>0.84210526315789469</v>
      </c>
      <c r="CZ124" s="31">
        <v>0.94290375203915167</v>
      </c>
      <c r="DA124" s="31">
        <v>0.86328725038402454</v>
      </c>
      <c r="DB124" s="31">
        <v>0.84779299847792999</v>
      </c>
      <c r="DC124" s="31">
        <v>0.87155963302752293</v>
      </c>
      <c r="DD124" s="31">
        <v>0.87209302325581395</v>
      </c>
      <c r="DE124" s="31">
        <v>0.88774002954209752</v>
      </c>
      <c r="DF124" s="31">
        <v>0.8753545642692051</v>
      </c>
      <c r="DG124" s="31">
        <v>0.84225759768451525</v>
      </c>
      <c r="DH124" s="31">
        <v>0.8727544910179641</v>
      </c>
      <c r="DI124" s="31">
        <v>0.88315629742033386</v>
      </c>
      <c r="DJ124" s="31">
        <v>0.85280728376327775</v>
      </c>
      <c r="DK124" s="31">
        <v>0.88546255506607929</v>
      </c>
      <c r="DL124" s="31">
        <v>0.87964338781575035</v>
      </c>
      <c r="DM124" s="31">
        <v>0.89927007299270068</v>
      </c>
      <c r="DN124" s="31">
        <v>0.87362166939437458</v>
      </c>
      <c r="DO124" s="31">
        <v>0.8584070796460177</v>
      </c>
      <c r="DP124" s="31">
        <v>0.86976047904191611</v>
      </c>
      <c r="DQ124" s="31">
        <v>0.8847305389221557</v>
      </c>
      <c r="DR124" s="31">
        <v>0.90468986384266259</v>
      </c>
      <c r="DS124" s="31">
        <v>0.89296636085626913</v>
      </c>
      <c r="DT124" s="31">
        <v>0.86560693641618502</v>
      </c>
      <c r="DU124" s="31">
        <v>0.87865497076023391</v>
      </c>
      <c r="DV124" s="31">
        <v>0.87925946135506294</v>
      </c>
      <c r="DW124" s="31">
        <v>0.85014005602240894</v>
      </c>
      <c r="DX124" s="31">
        <v>0.89504373177842567</v>
      </c>
      <c r="DY124" s="31">
        <v>0.87072808320950967</v>
      </c>
      <c r="DZ124" s="31">
        <v>0.86390532544378695</v>
      </c>
      <c r="EA124" s="31">
        <v>0.87518142235123364</v>
      </c>
      <c r="EB124" s="31">
        <v>0.90261627906976749</v>
      </c>
      <c r="EC124" s="31">
        <v>0.87</v>
      </c>
      <c r="ED124" s="31">
        <v>0.87537355683930451</v>
      </c>
      <c r="EE124" s="31">
        <v>0.86176470588235299</v>
      </c>
      <c r="EF124" s="31">
        <v>0.88252148997134672</v>
      </c>
      <c r="EG124" s="31">
        <v>0.82789317507418403</v>
      </c>
      <c r="EH124" s="31">
        <v>0.84107946026986502</v>
      </c>
      <c r="EI124" s="31">
        <v>0.88226744186046513</v>
      </c>
      <c r="EJ124" s="31">
        <v>0.85818713450292394</v>
      </c>
      <c r="EK124" s="31">
        <v>0.87209302325581395</v>
      </c>
      <c r="EL124" s="31">
        <v>0.86082949011670762</v>
      </c>
    </row>
    <row r="125" spans="38:142" x14ac:dyDescent="0.35">
      <c r="AL125" s="19" t="s">
        <v>161</v>
      </c>
      <c r="AM125" s="31">
        <v>0.86393088552915764</v>
      </c>
      <c r="AN125" s="31">
        <v>0.87991266375545851</v>
      </c>
      <c r="AO125" s="31">
        <v>0.82112068965517238</v>
      </c>
      <c r="AP125" s="31">
        <v>0.87068965517241381</v>
      </c>
      <c r="AQ125" s="31">
        <v>0.86363636363636365</v>
      </c>
      <c r="AR125" s="31">
        <v>0.89177489177489178</v>
      </c>
      <c r="AS125" s="31">
        <v>0.86363636363636365</v>
      </c>
      <c r="AT125" s="31">
        <v>0.86495735902283166</v>
      </c>
      <c r="AU125" s="31">
        <v>0.89370932754880694</v>
      </c>
      <c r="AV125" s="31">
        <v>0.87068965517241381</v>
      </c>
      <c r="AW125" s="31">
        <v>0.8571428571428571</v>
      </c>
      <c r="AX125" s="31">
        <v>0.85106382978723405</v>
      </c>
      <c r="AY125" s="31">
        <v>0.87041036717062636</v>
      </c>
      <c r="AZ125" s="31">
        <v>0.87904967602591788</v>
      </c>
      <c r="BA125" s="31">
        <v>0.87418655097613884</v>
      </c>
      <c r="BB125" s="31">
        <v>0.87089318054628506</v>
      </c>
      <c r="BC125" s="31">
        <v>0.87527352297592997</v>
      </c>
      <c r="BD125" s="31">
        <v>0.89542483660130723</v>
      </c>
      <c r="BE125" s="31">
        <v>0.83877995642701531</v>
      </c>
      <c r="BF125" s="31">
        <v>0.84095860566448799</v>
      </c>
      <c r="BG125" s="31">
        <v>0.89782608695652177</v>
      </c>
      <c r="BH125" s="31">
        <v>0.91938997821350765</v>
      </c>
      <c r="BI125" s="31">
        <v>0.89978213507625271</v>
      </c>
      <c r="BJ125" s="31">
        <v>0.88106216027357465</v>
      </c>
      <c r="BK125" s="31">
        <v>0.79871520342612423</v>
      </c>
      <c r="BL125" s="31">
        <v>0.89782608695652177</v>
      </c>
      <c r="BM125" s="31">
        <v>0.71092077087794436</v>
      </c>
      <c r="BN125" s="31">
        <v>0.72805139186295498</v>
      </c>
      <c r="BO125" s="31">
        <v>0.83116883116883122</v>
      </c>
      <c r="BP125" s="31">
        <v>0.86956521739130432</v>
      </c>
      <c r="BQ125" s="31">
        <v>0.88671023965141615</v>
      </c>
      <c r="BR125" s="31">
        <v>0.81756539161929964</v>
      </c>
      <c r="BS125" s="31">
        <v>0.85894736842105268</v>
      </c>
      <c r="BT125" s="31">
        <v>0.75698924731182793</v>
      </c>
      <c r="BU125" s="31">
        <v>0.8628691983122363</v>
      </c>
      <c r="BV125" s="31">
        <v>0.86721991701244816</v>
      </c>
      <c r="BW125" s="31">
        <v>0.85867237687366171</v>
      </c>
      <c r="BX125" s="31">
        <v>0.79184549356223177</v>
      </c>
      <c r="BY125" s="31">
        <v>0.83905579399141628</v>
      </c>
      <c r="BZ125" s="31">
        <v>0.83365705649783928</v>
      </c>
      <c r="CA125" s="31">
        <v>0.87421383647798745</v>
      </c>
      <c r="CB125" s="31">
        <v>0.8565488565488566</v>
      </c>
      <c r="CC125" s="31">
        <v>0.86820083682008364</v>
      </c>
      <c r="CD125" s="31">
        <v>0.8728813559322034</v>
      </c>
      <c r="CE125" s="31">
        <v>0.87341772151898733</v>
      </c>
      <c r="CF125" s="31">
        <v>0.85833333333333328</v>
      </c>
      <c r="CG125" s="31">
        <v>0.88773388773388773</v>
      </c>
      <c r="CH125" s="31">
        <v>0.87018997548076271</v>
      </c>
      <c r="CI125" s="31">
        <v>0.84583333333333333</v>
      </c>
      <c r="CJ125" s="31">
        <v>0.88983050847457623</v>
      </c>
      <c r="CK125" s="31">
        <v>0.83436853002070388</v>
      </c>
      <c r="CL125" s="31">
        <v>0.84873949579831931</v>
      </c>
      <c r="CM125" s="31">
        <v>0.84232365145228216</v>
      </c>
      <c r="CN125" s="31">
        <v>0.89029535864978904</v>
      </c>
      <c r="CO125" s="31">
        <v>0.82672233820459295</v>
      </c>
      <c r="CP125" s="31">
        <v>0.85401617370479943</v>
      </c>
      <c r="CQ125" s="31">
        <v>0.83018867924528306</v>
      </c>
      <c r="CR125" s="31">
        <v>0.87447698744769875</v>
      </c>
      <c r="CS125" s="31">
        <v>0.80167014613778709</v>
      </c>
      <c r="CT125" s="31">
        <v>0.81666666666666665</v>
      </c>
      <c r="CU125" s="31">
        <v>0.83682008368200833</v>
      </c>
      <c r="CV125" s="31">
        <v>0.86373165618448633</v>
      </c>
      <c r="CW125" s="31">
        <v>0.82635983263598323</v>
      </c>
      <c r="CX125" s="31">
        <v>0.83570200742855894</v>
      </c>
      <c r="CY125" s="31">
        <v>0.7830802603036876</v>
      </c>
      <c r="CZ125" s="31">
        <v>0.7895833333333333</v>
      </c>
      <c r="DA125" s="31">
        <v>0.72591006423982873</v>
      </c>
      <c r="DB125" s="31">
        <v>0.72317596566523601</v>
      </c>
      <c r="DC125" s="31">
        <v>0.78251599147121531</v>
      </c>
      <c r="DD125" s="31">
        <v>0.81704781704781704</v>
      </c>
      <c r="DE125" s="31">
        <v>0.79625779625779625</v>
      </c>
      <c r="DF125" s="31">
        <v>0.77393874690270203</v>
      </c>
      <c r="DG125" s="31">
        <v>0.8</v>
      </c>
      <c r="DH125" s="31">
        <v>0.76805251641137851</v>
      </c>
      <c r="DI125" s="31">
        <v>0.77899343544857769</v>
      </c>
      <c r="DJ125" s="31">
        <v>0.77729257641921401</v>
      </c>
      <c r="DK125" s="31">
        <v>0.84463894967177244</v>
      </c>
      <c r="DL125" s="31">
        <v>0.79868708971553615</v>
      </c>
      <c r="DM125" s="31">
        <v>0.83660130718954251</v>
      </c>
      <c r="DN125" s="31">
        <v>0.80060941069371727</v>
      </c>
      <c r="DO125" s="31">
        <v>0.83836206896551724</v>
      </c>
      <c r="DP125" s="31">
        <v>0.80869565217391304</v>
      </c>
      <c r="DQ125" s="31">
        <v>0.83836206896551724</v>
      </c>
      <c r="DR125" s="31">
        <v>0.84829059829059827</v>
      </c>
      <c r="DS125" s="31">
        <v>0.84565217391304348</v>
      </c>
      <c r="DT125" s="31">
        <v>0.84313725490196079</v>
      </c>
      <c r="DU125" s="31">
        <v>0.83913043478260874</v>
      </c>
      <c r="DV125" s="31">
        <v>0.83737575028473699</v>
      </c>
      <c r="DW125" s="31">
        <v>0.8501070663811563</v>
      </c>
      <c r="DX125" s="31">
        <v>0.85470085470085466</v>
      </c>
      <c r="DY125" s="31">
        <v>0.84210526315789469</v>
      </c>
      <c r="DZ125" s="31">
        <v>0.80042016806722693</v>
      </c>
      <c r="EA125" s="31">
        <v>0.86695278969957079</v>
      </c>
      <c r="EB125" s="31">
        <v>0.85864978902953581</v>
      </c>
      <c r="EC125" s="31">
        <v>0.86993603411513865</v>
      </c>
      <c r="ED125" s="31">
        <v>0.84898170930733952</v>
      </c>
      <c r="EE125" s="31">
        <v>0.8433476394849786</v>
      </c>
      <c r="EF125" s="31">
        <v>0.82692307692307687</v>
      </c>
      <c r="EG125" s="31">
        <v>0.83047210300429186</v>
      </c>
      <c r="EH125" s="31">
        <v>0.85256410256410253</v>
      </c>
      <c r="EI125" s="31">
        <v>0.87777777777777777</v>
      </c>
      <c r="EJ125" s="31">
        <v>0.8493449781659389</v>
      </c>
      <c r="EK125" s="31">
        <v>0.86153846153846159</v>
      </c>
      <c r="EL125" s="31">
        <v>0.84885259135123259</v>
      </c>
    </row>
    <row r="126" spans="38:142" x14ac:dyDescent="0.35">
      <c r="AL126" s="19" t="s">
        <v>162</v>
      </c>
      <c r="AM126" s="31">
        <v>0.98253275109170302</v>
      </c>
      <c r="AN126" s="31">
        <v>0.96120689655172409</v>
      </c>
      <c r="AO126" s="31">
        <v>1</v>
      </c>
      <c r="AP126" s="31">
        <v>1</v>
      </c>
      <c r="AQ126" s="31">
        <v>0.99551569506726456</v>
      </c>
      <c r="AR126" s="31">
        <v>0.98237885462555063</v>
      </c>
      <c r="AS126" s="31">
        <v>0.97797356828193838</v>
      </c>
      <c r="AT126" s="31">
        <v>0.98565825223116854</v>
      </c>
      <c r="AU126" s="31">
        <v>0.97446808510638294</v>
      </c>
      <c r="AV126" s="31">
        <v>0.99570815450643779</v>
      </c>
      <c r="AW126" s="31">
        <v>0.91489361702127658</v>
      </c>
      <c r="AX126" s="31">
        <v>0.97008547008547008</v>
      </c>
      <c r="AY126" s="31">
        <v>0.94491525423728817</v>
      </c>
      <c r="AZ126" s="31">
        <v>0.99145299145299148</v>
      </c>
      <c r="BA126" s="31">
        <v>0.99572649572649574</v>
      </c>
      <c r="BB126" s="31">
        <v>0.96960715259090602</v>
      </c>
      <c r="BC126" s="31">
        <v>0.97457627118644063</v>
      </c>
      <c r="BD126" s="31">
        <v>0.97008547008547008</v>
      </c>
      <c r="BE126" s="31">
        <v>0.97457627118644063</v>
      </c>
      <c r="BF126" s="31">
        <v>0.94142259414225937</v>
      </c>
      <c r="BG126" s="31">
        <v>0.95338983050847459</v>
      </c>
      <c r="BH126" s="31">
        <v>0.99145299145299148</v>
      </c>
      <c r="BI126" s="31">
        <v>0.97071129707112969</v>
      </c>
      <c r="BJ126" s="31">
        <v>0.96803067509045804</v>
      </c>
      <c r="BK126" s="31">
        <v>0.94142259414225937</v>
      </c>
      <c r="BL126" s="31">
        <v>0.96638655462184875</v>
      </c>
      <c r="BM126" s="31">
        <v>0.94142259414225937</v>
      </c>
      <c r="BN126" s="31">
        <v>0.94142259414225937</v>
      </c>
      <c r="BO126" s="31">
        <v>0.97489539748953979</v>
      </c>
      <c r="BP126" s="31">
        <v>0.97468354430379744</v>
      </c>
      <c r="BQ126" s="31">
        <v>0.96652719665271969</v>
      </c>
      <c r="BR126" s="31">
        <v>0.95810863935638335</v>
      </c>
      <c r="BS126" s="31">
        <v>1</v>
      </c>
      <c r="BT126" s="31">
        <v>0.94142259414225937</v>
      </c>
      <c r="BU126" s="31">
        <v>1</v>
      </c>
      <c r="BV126" s="31">
        <v>0.98340248962655596</v>
      </c>
      <c r="BW126" s="31">
        <v>0.9913419913419913</v>
      </c>
      <c r="BX126" s="31">
        <v>0.97907949790794979</v>
      </c>
      <c r="BY126" s="31">
        <v>1</v>
      </c>
      <c r="BZ126" s="31">
        <v>0.98503522471696514</v>
      </c>
      <c r="CA126" s="31">
        <v>0.93442622950819676</v>
      </c>
      <c r="CB126" s="31">
        <v>0.9294605809128631</v>
      </c>
      <c r="CC126" s="31">
        <v>0.92213114754098358</v>
      </c>
      <c r="CD126" s="31">
        <v>0.93442622950819676</v>
      </c>
      <c r="CE126" s="31">
        <v>0.95901639344262291</v>
      </c>
      <c r="CF126" s="31">
        <v>0.96265560165975106</v>
      </c>
      <c r="CG126" s="31">
        <v>0.95901639344262291</v>
      </c>
      <c r="CH126" s="31">
        <v>0.9430189394307481</v>
      </c>
      <c r="CI126" s="31">
        <v>0.96721311475409832</v>
      </c>
      <c r="CJ126" s="31">
        <v>0.95081967213114749</v>
      </c>
      <c r="CK126" s="31">
        <v>0.94672131147540983</v>
      </c>
      <c r="CL126" s="31">
        <v>0.94672131147540983</v>
      </c>
      <c r="CM126" s="31">
        <v>0.94190871369294604</v>
      </c>
      <c r="CN126" s="31">
        <v>0.98755186721991706</v>
      </c>
      <c r="CO126" s="31">
        <v>0.96680497925311204</v>
      </c>
      <c r="CP126" s="31">
        <v>0.95824871000029155</v>
      </c>
      <c r="CQ126" s="31">
        <v>0.97950819672131151</v>
      </c>
      <c r="CR126" s="31">
        <v>0.95491803278688525</v>
      </c>
      <c r="CS126" s="31">
        <v>0.97950819672131151</v>
      </c>
      <c r="CT126" s="31">
        <v>0.97950819672131151</v>
      </c>
      <c r="CU126" s="31">
        <v>0.97540983606557374</v>
      </c>
      <c r="CV126" s="31">
        <v>0.96311475409836067</v>
      </c>
      <c r="CW126" s="31">
        <v>0.97540983606557374</v>
      </c>
      <c r="CX126" s="31">
        <v>0.97248243559718961</v>
      </c>
      <c r="CY126" s="31">
        <v>0.96265560165975106</v>
      </c>
      <c r="CZ126" s="31">
        <v>0.97950819672131151</v>
      </c>
      <c r="DA126" s="31">
        <v>0.95901639344262291</v>
      </c>
      <c r="DB126" s="31">
        <v>0.94262295081967218</v>
      </c>
      <c r="DC126" s="31">
        <v>0.89344262295081966</v>
      </c>
      <c r="DD126" s="31">
        <v>0.98360655737704916</v>
      </c>
      <c r="DE126" s="31">
        <v>0.98360655737704916</v>
      </c>
      <c r="DF126" s="31">
        <v>0.95777984004975358</v>
      </c>
      <c r="DG126" s="31">
        <v>0.95901639344262291</v>
      </c>
      <c r="DH126" s="31">
        <v>0.99180327868852458</v>
      </c>
      <c r="DI126" s="31">
        <v>0.97540983606557374</v>
      </c>
      <c r="DJ126" s="31">
        <v>0.97540983606557374</v>
      </c>
      <c r="DK126" s="31">
        <v>0.99180327868852458</v>
      </c>
      <c r="DL126" s="31">
        <v>1</v>
      </c>
      <c r="DM126" s="31">
        <v>1</v>
      </c>
      <c r="DN126" s="31">
        <v>0.9847775175644029</v>
      </c>
      <c r="DO126" s="31">
        <v>0.95901639344262291</v>
      </c>
      <c r="DP126" s="31">
        <v>0.98770491803278693</v>
      </c>
      <c r="DQ126" s="31">
        <v>0.95491803278688525</v>
      </c>
      <c r="DR126" s="31">
        <v>0.97540983606557374</v>
      </c>
      <c r="DS126" s="31">
        <v>0.97540983606557374</v>
      </c>
      <c r="DT126" s="31">
        <v>0.98770491803278693</v>
      </c>
      <c r="DU126" s="31">
        <v>0.98770491803278693</v>
      </c>
      <c r="DV126" s="31">
        <v>0.97540983606557385</v>
      </c>
      <c r="DW126" s="31">
        <v>0.96721311475409832</v>
      </c>
      <c r="DX126" s="31">
        <v>0.96721311475409832</v>
      </c>
      <c r="DY126" s="31">
        <v>0.98360655737704916</v>
      </c>
      <c r="DZ126" s="31">
        <v>0.96721311475409832</v>
      </c>
      <c r="EA126" s="31">
        <v>0.96721311475409832</v>
      </c>
      <c r="EB126" s="31">
        <v>0.96721311475409832</v>
      </c>
      <c r="EC126" s="31">
        <v>0.96721311475409832</v>
      </c>
      <c r="ED126" s="31">
        <v>0.9695550351288057</v>
      </c>
      <c r="EE126" s="31">
        <v>0.95199999999999996</v>
      </c>
      <c r="EF126" s="31">
        <v>0.97950819672131151</v>
      </c>
      <c r="EG126" s="31">
        <v>0.95081967213114749</v>
      </c>
      <c r="EH126" s="31">
        <v>0.95081967213114749</v>
      </c>
      <c r="EI126" s="31">
        <v>0.97637795275590555</v>
      </c>
      <c r="EJ126" s="31">
        <v>0.97950819672131151</v>
      </c>
      <c r="EK126" s="31">
        <v>0.98770491803278693</v>
      </c>
      <c r="EL126" s="31">
        <v>0.96810551549908719</v>
      </c>
    </row>
    <row r="127" spans="38:142" x14ac:dyDescent="0.35">
      <c r="AL127" s="19" t="s">
        <v>163</v>
      </c>
      <c r="AM127" s="31">
        <v>0.94002789400278941</v>
      </c>
      <c r="AN127" s="31">
        <v>0.92339832869080785</v>
      </c>
      <c r="AO127" s="31">
        <v>0.93575418994413406</v>
      </c>
      <c r="AP127" s="31">
        <v>0.92628650904033383</v>
      </c>
      <c r="AQ127" s="31">
        <v>0.9505494505494505</v>
      </c>
      <c r="AR127" s="31">
        <v>0.95104895104895104</v>
      </c>
      <c r="AS127" s="31">
        <v>0.93871866295264628</v>
      </c>
      <c r="AT127" s="31">
        <v>0.93796914088987327</v>
      </c>
      <c r="AU127" s="31">
        <v>0.93074792243767313</v>
      </c>
      <c r="AV127" s="31">
        <v>0.94428969359331472</v>
      </c>
      <c r="AW127" s="31">
        <v>0.92371705963938977</v>
      </c>
      <c r="AX127" s="31">
        <v>0.93342579750346744</v>
      </c>
      <c r="AY127" s="31">
        <v>0.93877551020408168</v>
      </c>
      <c r="AZ127" s="31">
        <v>0.94134078212290506</v>
      </c>
      <c r="BA127" s="31">
        <v>0.93561643835616437</v>
      </c>
      <c r="BB127" s="31">
        <v>0.93541617197957094</v>
      </c>
      <c r="BC127" s="31">
        <v>0.9433701657458563</v>
      </c>
      <c r="BD127" s="31">
        <v>0.92468619246861927</v>
      </c>
      <c r="BE127" s="31">
        <v>0.91876750700280108</v>
      </c>
      <c r="BF127" s="31">
        <v>0.91468531468531467</v>
      </c>
      <c r="BG127" s="31">
        <v>0.92551724137931035</v>
      </c>
      <c r="BH127" s="31">
        <v>0.9415041782729805</v>
      </c>
      <c r="BI127" s="31">
        <v>0.92777777777777781</v>
      </c>
      <c r="BJ127" s="31">
        <v>0.92804405390466571</v>
      </c>
      <c r="BK127" s="31">
        <v>0.8263305322128851</v>
      </c>
      <c r="BL127" s="31">
        <v>0.9232914923291492</v>
      </c>
      <c r="BM127" s="31">
        <v>0.76170212765957446</v>
      </c>
      <c r="BN127" s="31">
        <v>0.78248587570621464</v>
      </c>
      <c r="BO127" s="31">
        <v>0.88671328671328675</v>
      </c>
      <c r="BP127" s="31">
        <v>0.92747559274755931</v>
      </c>
      <c r="BQ127" s="31">
        <v>0.9179415855354659</v>
      </c>
      <c r="BR127" s="31">
        <v>0.86084864184344778</v>
      </c>
      <c r="BS127" s="31">
        <v>0.90584878744650499</v>
      </c>
      <c r="BT127" s="31">
        <v>0.8115330520393812</v>
      </c>
      <c r="BU127" s="31">
        <v>0.90748898678414092</v>
      </c>
      <c r="BV127" s="31">
        <v>0.89306358381502893</v>
      </c>
      <c r="BW127" s="31">
        <v>0.90664780763790664</v>
      </c>
      <c r="BX127" s="31">
        <v>0.86901408450704221</v>
      </c>
      <c r="BY127" s="31">
        <v>0.88418079096045199</v>
      </c>
      <c r="BZ127" s="31">
        <v>0.88253958474149374</v>
      </c>
      <c r="CA127" s="31">
        <v>0.89718309859154932</v>
      </c>
      <c r="CB127" s="31">
        <v>0.89275362318840579</v>
      </c>
      <c r="CC127" s="31">
        <v>0.89695210449927432</v>
      </c>
      <c r="CD127" s="31">
        <v>0.9134897360703812</v>
      </c>
      <c r="CE127" s="31">
        <v>0.93900709219858158</v>
      </c>
      <c r="CF127" s="31">
        <v>0.93659942363112392</v>
      </c>
      <c r="CG127" s="31">
        <v>0.93839541547277938</v>
      </c>
      <c r="CH127" s="31">
        <v>0.91634007052172795</v>
      </c>
      <c r="CI127" s="31">
        <v>0.95435092724679027</v>
      </c>
      <c r="CJ127" s="31">
        <v>0.91845493562231761</v>
      </c>
      <c r="CK127" s="31">
        <v>0.92539454806312771</v>
      </c>
      <c r="CL127" s="31">
        <v>0.93506493506493504</v>
      </c>
      <c r="CM127" s="31">
        <v>0.93900709219858158</v>
      </c>
      <c r="CN127" s="31">
        <v>0.93900709219858158</v>
      </c>
      <c r="CO127" s="31">
        <v>0.9438202247191011</v>
      </c>
      <c r="CP127" s="31">
        <v>0.93644282215906216</v>
      </c>
      <c r="CQ127" s="31">
        <v>0.9490806223479491</v>
      </c>
      <c r="CR127" s="31">
        <v>0.95857142857142852</v>
      </c>
      <c r="CS127" s="31">
        <v>0.94326241134751776</v>
      </c>
      <c r="CT127" s="31">
        <v>0.94744318181818177</v>
      </c>
      <c r="CU127" s="31">
        <v>0.96338028169014089</v>
      </c>
      <c r="CV127" s="31">
        <v>0.96453900709219853</v>
      </c>
      <c r="CW127" s="31">
        <v>0.97301136363636365</v>
      </c>
      <c r="CX127" s="31">
        <v>0.95704118521482562</v>
      </c>
      <c r="CY127" s="31">
        <v>0.97206703910614523</v>
      </c>
      <c r="CZ127" s="31">
        <v>0.96888260254596892</v>
      </c>
      <c r="DA127" s="31">
        <v>0.95218002812939517</v>
      </c>
      <c r="DB127" s="31">
        <v>0.95590327169274536</v>
      </c>
      <c r="DC127" s="31">
        <v>0.96532593619972262</v>
      </c>
      <c r="DD127" s="31">
        <v>0.97602256699576873</v>
      </c>
      <c r="DE127" s="31">
        <v>0.96373779637377965</v>
      </c>
      <c r="DF127" s="31">
        <v>0.96487417729193226</v>
      </c>
      <c r="DG127" s="31">
        <v>0.96408839779005528</v>
      </c>
      <c r="DH127" s="31">
        <v>0.95511921458625526</v>
      </c>
      <c r="DI127" s="31">
        <v>0.95006934812760058</v>
      </c>
      <c r="DJ127" s="31">
        <v>0.94692737430167595</v>
      </c>
      <c r="DK127" s="31">
        <v>0.95724137931034481</v>
      </c>
      <c r="DL127" s="31">
        <v>0.93619972260748963</v>
      </c>
      <c r="DM127" s="31">
        <v>0.95297372060857533</v>
      </c>
      <c r="DN127" s="31">
        <v>0.95180273676171379</v>
      </c>
      <c r="DO127" s="31">
        <v>0.96695402298850575</v>
      </c>
      <c r="DP127" s="31">
        <v>0.96801112656467314</v>
      </c>
      <c r="DQ127" s="31">
        <v>0.95474452554744527</v>
      </c>
      <c r="DR127" s="31">
        <v>0.95189504373177847</v>
      </c>
      <c r="DS127" s="31">
        <v>0.9560906515580736</v>
      </c>
      <c r="DT127" s="31">
        <v>0.97198879551820727</v>
      </c>
      <c r="DU127" s="31">
        <v>0.93435754189944131</v>
      </c>
      <c r="DV127" s="31">
        <v>0.95772024397258926</v>
      </c>
      <c r="DW127" s="31">
        <v>0.9526462395543176</v>
      </c>
      <c r="DX127" s="31">
        <v>0.94879089615931722</v>
      </c>
      <c r="DY127" s="31">
        <v>0.92717086834733897</v>
      </c>
      <c r="DZ127" s="31">
        <v>0.92796610169491522</v>
      </c>
      <c r="EA127" s="31">
        <v>0.94209039548022599</v>
      </c>
      <c r="EB127" s="31">
        <v>0.93543758967001434</v>
      </c>
      <c r="EC127" s="31">
        <v>0.9638205499276411</v>
      </c>
      <c r="ED127" s="31">
        <v>0.94256037726196717</v>
      </c>
      <c r="EE127" s="31">
        <v>0.9401947148817803</v>
      </c>
      <c r="EF127" s="31">
        <v>0.94281729428172945</v>
      </c>
      <c r="EG127" s="31">
        <v>0.92094313453536758</v>
      </c>
      <c r="EH127" s="31">
        <v>0.92807745504840944</v>
      </c>
      <c r="EI127" s="31">
        <v>0.93758668515950072</v>
      </c>
      <c r="EJ127" s="31">
        <v>0.93324061196105701</v>
      </c>
      <c r="EK127" s="31">
        <v>0.94125874125874121</v>
      </c>
      <c r="EL127" s="31">
        <v>0.93487409101808361</v>
      </c>
    </row>
    <row r="128" spans="38:142" x14ac:dyDescent="0.35">
      <c r="AL128" s="19" t="s">
        <v>164</v>
      </c>
      <c r="AM128" s="31">
        <v>0.90142671854734113</v>
      </c>
      <c r="AN128" s="31">
        <v>0.90272373540856032</v>
      </c>
      <c r="AO128" s="31">
        <v>0.94293125810635536</v>
      </c>
      <c r="AP128" s="31">
        <v>0.9377431906614786</v>
      </c>
      <c r="AQ128" s="31">
        <v>0.953307392996109</v>
      </c>
      <c r="AR128" s="31">
        <v>0.90234375</v>
      </c>
      <c r="AS128" s="31">
        <v>0.9256844850065189</v>
      </c>
      <c r="AT128" s="31">
        <v>0.92373721867519476</v>
      </c>
      <c r="AU128" s="31">
        <v>0.921875</v>
      </c>
      <c r="AV128" s="31">
        <v>0.9377431906614786</v>
      </c>
      <c r="AW128" s="31">
        <v>0.9831387808041504</v>
      </c>
      <c r="AX128" s="31">
        <v>0.97924773022049283</v>
      </c>
      <c r="AY128" s="31">
        <v>0.95833333333333337</v>
      </c>
      <c r="AZ128" s="31">
        <v>0.91937581274382318</v>
      </c>
      <c r="BA128" s="31">
        <v>0.91027308192457734</v>
      </c>
      <c r="BB128" s="31">
        <v>0.94428384709826507</v>
      </c>
      <c r="BC128" s="31">
        <v>0.95549738219895286</v>
      </c>
      <c r="BD128" s="31">
        <v>0.9453125</v>
      </c>
      <c r="BE128" s="31">
        <v>0.90065359477124185</v>
      </c>
      <c r="BF128" s="31">
        <v>0.88366013071895422</v>
      </c>
      <c r="BG128" s="31">
        <v>0.93481095176010431</v>
      </c>
      <c r="BH128" s="31">
        <v>0.93594771241830066</v>
      </c>
      <c r="BI128" s="31">
        <v>0.92689295039164488</v>
      </c>
      <c r="BJ128" s="31">
        <v>0.92611074603702848</v>
      </c>
      <c r="BK128" s="31">
        <v>0.93931398416886547</v>
      </c>
      <c r="BL128" s="31">
        <v>0.9228758169934641</v>
      </c>
      <c r="BM128" s="31">
        <v>0.75394736842105259</v>
      </c>
      <c r="BN128" s="31">
        <v>0.77236842105263159</v>
      </c>
      <c r="BO128" s="31">
        <v>0.87034659820282412</v>
      </c>
      <c r="BP128" s="31">
        <v>0.95134443021766968</v>
      </c>
      <c r="BQ128" s="31">
        <v>0.96798975672215104</v>
      </c>
      <c r="BR128" s="31">
        <v>0.88259805368266542</v>
      </c>
      <c r="BS128" s="31">
        <v>0.88042049934296973</v>
      </c>
      <c r="BT128" s="31">
        <v>0.82407407407407407</v>
      </c>
      <c r="BU128" s="31">
        <v>0.86904761904761907</v>
      </c>
      <c r="BV128" s="31">
        <v>0.87172774869109948</v>
      </c>
      <c r="BW128" s="31">
        <v>0.87862796833773082</v>
      </c>
      <c r="BX128" s="31">
        <v>0.81144343302990896</v>
      </c>
      <c r="BY128" s="31">
        <v>0.90752972258916775</v>
      </c>
      <c r="BZ128" s="31">
        <v>0.86326729501608135</v>
      </c>
      <c r="CA128" s="31">
        <v>0.9255874673629243</v>
      </c>
      <c r="CB128" s="31">
        <v>0.95538057742782156</v>
      </c>
      <c r="CC128" s="31">
        <v>0.95131578947368423</v>
      </c>
      <c r="CD128" s="31">
        <v>0.90419947506561682</v>
      </c>
      <c r="CE128" s="31">
        <v>0.94148244473342002</v>
      </c>
      <c r="CF128" s="31">
        <v>0.91269841269841268</v>
      </c>
      <c r="CG128" s="31">
        <v>0.91699604743083007</v>
      </c>
      <c r="CH128" s="31">
        <v>0.9296657448846728</v>
      </c>
      <c r="CI128" s="31">
        <v>0.91866666666666663</v>
      </c>
      <c r="CJ128" s="31">
        <v>0.97086092715231787</v>
      </c>
      <c r="CK128" s="31">
        <v>0.92656875834445929</v>
      </c>
      <c r="CL128" s="31">
        <v>0.86950732356857519</v>
      </c>
      <c r="CM128" s="31">
        <v>0.9828269484808454</v>
      </c>
      <c r="CN128" s="31">
        <v>0.95020188425302832</v>
      </c>
      <c r="CO128" s="31">
        <v>0.93377483443708609</v>
      </c>
      <c r="CP128" s="31">
        <v>0.93605819184328265</v>
      </c>
      <c r="CQ128" s="31">
        <v>0.88069705093833783</v>
      </c>
      <c r="CR128" s="31">
        <v>0.86077643908969215</v>
      </c>
      <c r="CS128" s="31">
        <v>0.91766268260292161</v>
      </c>
      <c r="CT128" s="31">
        <v>0.90860927152317883</v>
      </c>
      <c r="CU128" s="31">
        <v>0.92348993288590608</v>
      </c>
      <c r="CV128" s="31">
        <v>0.88456375838926171</v>
      </c>
      <c r="CW128" s="31">
        <v>0.88563829787234039</v>
      </c>
      <c r="CX128" s="31">
        <v>0.89449106190023409</v>
      </c>
      <c r="CY128" s="31">
        <v>0.89232839838492595</v>
      </c>
      <c r="CZ128" s="31">
        <v>0.85828877005347592</v>
      </c>
      <c r="DA128" s="31">
        <v>0.86944818304172278</v>
      </c>
      <c r="DB128" s="31">
        <v>0.84253028263795426</v>
      </c>
      <c r="DC128" s="31">
        <v>0.97855227882037532</v>
      </c>
      <c r="DD128" s="31">
        <v>0.88079470198675491</v>
      </c>
      <c r="DE128" s="31">
        <v>0.91523178807947014</v>
      </c>
      <c r="DF128" s="31">
        <v>0.89102491471495426</v>
      </c>
      <c r="DG128" s="31">
        <v>0.88405797101449279</v>
      </c>
      <c r="DH128" s="31">
        <v>0.87418086500655312</v>
      </c>
      <c r="DI128" s="31">
        <v>0.89605263157894732</v>
      </c>
      <c r="DJ128" s="31">
        <v>0.87631578947368416</v>
      </c>
      <c r="DK128" s="31">
        <v>0.89790575916230364</v>
      </c>
      <c r="DL128" s="31">
        <v>0.88466579292267367</v>
      </c>
      <c r="DM128" s="31">
        <v>0.88830486202365311</v>
      </c>
      <c r="DN128" s="31">
        <v>0.88592623874032961</v>
      </c>
      <c r="DO128" s="31">
        <v>0.8807588075880759</v>
      </c>
      <c r="DP128" s="31">
        <v>0.88421052631578945</v>
      </c>
      <c r="DQ128" s="31">
        <v>0.92328767123287669</v>
      </c>
      <c r="DR128" s="31">
        <v>0.85890410958904106</v>
      </c>
      <c r="DS128" s="31">
        <v>0.86089238845144356</v>
      </c>
      <c r="DT128" s="31">
        <v>0.90691489361702127</v>
      </c>
      <c r="DU128" s="31">
        <v>0.88337801608579092</v>
      </c>
      <c r="DV128" s="31">
        <v>0.88547805898286269</v>
      </c>
      <c r="DW128" s="31">
        <v>0.86694101508916321</v>
      </c>
      <c r="DX128" s="31">
        <v>0.88767123287671235</v>
      </c>
      <c r="DY128" s="31">
        <v>0.896505376344086</v>
      </c>
      <c r="DZ128" s="31">
        <v>0.85052910052910058</v>
      </c>
      <c r="EA128" s="31">
        <v>0.86559139784946237</v>
      </c>
      <c r="EB128" s="31">
        <v>0.87690179806362378</v>
      </c>
      <c r="EC128" s="31">
        <v>0.89445196211096079</v>
      </c>
      <c r="ED128" s="31">
        <v>0.87694169755187279</v>
      </c>
      <c r="EE128" s="31">
        <v>0.88405797101449279</v>
      </c>
      <c r="EF128" s="31">
        <v>0.87854251012145745</v>
      </c>
      <c r="EG128" s="31">
        <v>0.85145888594164454</v>
      </c>
      <c r="EH128" s="31">
        <v>0.8381962864721485</v>
      </c>
      <c r="EI128" s="31">
        <v>0.87926509186351709</v>
      </c>
      <c r="EJ128" s="31">
        <v>0.88274044795783924</v>
      </c>
      <c r="EK128" s="31">
        <v>0.88669301712779969</v>
      </c>
      <c r="EL128" s="31">
        <v>0.87156488721412839</v>
      </c>
    </row>
    <row r="129" spans="38:142" x14ac:dyDescent="0.35">
      <c r="AL129" s="19" t="s">
        <v>165</v>
      </c>
      <c r="AM129" s="31">
        <v>1</v>
      </c>
      <c r="AN129" s="31">
        <v>1</v>
      </c>
      <c r="AO129" s="31">
        <v>1</v>
      </c>
      <c r="AP129" s="31">
        <v>1</v>
      </c>
      <c r="AQ129" s="31">
        <v>1</v>
      </c>
      <c r="AR129" s="31">
        <v>1</v>
      </c>
      <c r="AS129" s="31">
        <v>1</v>
      </c>
      <c r="AT129" s="31">
        <v>1</v>
      </c>
      <c r="AU129" s="31">
        <v>1</v>
      </c>
      <c r="AV129" s="31">
        <v>1</v>
      </c>
      <c r="AW129" s="31">
        <v>1</v>
      </c>
      <c r="AX129" s="31">
        <v>1</v>
      </c>
      <c r="AY129" s="31">
        <v>1</v>
      </c>
      <c r="AZ129" s="31">
        <v>1</v>
      </c>
      <c r="BA129" s="31">
        <v>1</v>
      </c>
      <c r="BB129" s="31">
        <v>1</v>
      </c>
      <c r="BC129" s="31">
        <v>0.99475065616797897</v>
      </c>
      <c r="BD129" s="31">
        <v>1</v>
      </c>
      <c r="BE129" s="31">
        <v>0.97637795275590555</v>
      </c>
      <c r="BF129" s="31">
        <v>0.97112860892388453</v>
      </c>
      <c r="BG129" s="31">
        <v>1</v>
      </c>
      <c r="BH129" s="31">
        <v>1</v>
      </c>
      <c r="BI129" s="31">
        <v>1</v>
      </c>
      <c r="BJ129" s="31">
        <v>0.99175103112110996</v>
      </c>
      <c r="BK129" s="31">
        <v>0.91076115485564302</v>
      </c>
      <c r="BL129" s="31">
        <v>1</v>
      </c>
      <c r="BM129" s="31">
        <v>0.83202099737532809</v>
      </c>
      <c r="BN129" s="31">
        <v>0.87401574803149606</v>
      </c>
      <c r="BO129" s="31">
        <v>0.94750656167978997</v>
      </c>
      <c r="BP129" s="31">
        <v>0.98950131233595795</v>
      </c>
      <c r="BQ129" s="31">
        <v>0.9658792650918635</v>
      </c>
      <c r="BR129" s="31">
        <v>0.93138357705286834</v>
      </c>
      <c r="BS129" s="31">
        <v>1</v>
      </c>
      <c r="BT129" s="31">
        <v>0.93438320209973758</v>
      </c>
      <c r="BU129" s="31">
        <v>1</v>
      </c>
      <c r="BV129" s="31">
        <v>1</v>
      </c>
      <c r="BW129" s="31">
        <v>1</v>
      </c>
      <c r="BX129" s="31">
        <v>0.97637795275590555</v>
      </c>
      <c r="BY129" s="31">
        <v>0.98950131233595795</v>
      </c>
      <c r="BZ129" s="31">
        <v>0.98575178102737149</v>
      </c>
      <c r="CA129" s="31">
        <v>0.9920844327176781</v>
      </c>
      <c r="CB129" s="31">
        <v>0.99737532808398954</v>
      </c>
      <c r="CC129" s="31">
        <v>1</v>
      </c>
      <c r="CD129" s="31">
        <v>1</v>
      </c>
      <c r="CE129" s="31">
        <v>0.99475065616797897</v>
      </c>
      <c r="CF129" s="31">
        <v>1</v>
      </c>
      <c r="CG129" s="31">
        <v>1</v>
      </c>
      <c r="CH129" s="31">
        <v>0.99774434528137801</v>
      </c>
      <c r="CI129" s="31">
        <v>0.99473684210526314</v>
      </c>
      <c r="CJ129" s="31">
        <v>1</v>
      </c>
      <c r="CK129" s="31">
        <v>0.99736842105263157</v>
      </c>
      <c r="CL129" s="31">
        <v>0.98947368421052628</v>
      </c>
      <c r="CM129" s="31">
        <v>0.99473684210526314</v>
      </c>
      <c r="CN129" s="31">
        <v>1</v>
      </c>
      <c r="CO129" s="31">
        <v>1</v>
      </c>
      <c r="CP129" s="31">
        <v>0.99661654135338351</v>
      </c>
      <c r="CQ129" s="31">
        <v>1</v>
      </c>
      <c r="CR129" s="31">
        <v>1</v>
      </c>
      <c r="CS129" s="31">
        <v>1</v>
      </c>
      <c r="CT129" s="31">
        <v>0.99736842105263157</v>
      </c>
      <c r="CU129" s="31">
        <v>1</v>
      </c>
      <c r="CV129" s="31">
        <v>0.99736842105263157</v>
      </c>
      <c r="CW129" s="31">
        <v>1</v>
      </c>
      <c r="CX129" s="31">
        <v>0.99924812030075194</v>
      </c>
      <c r="CY129" s="31">
        <v>0.98955613577023493</v>
      </c>
      <c r="CZ129" s="31">
        <v>1</v>
      </c>
      <c r="DA129" s="31">
        <v>0.95300261096605743</v>
      </c>
      <c r="DB129" s="31">
        <v>0.96605744125326376</v>
      </c>
      <c r="DC129" s="31">
        <v>1</v>
      </c>
      <c r="DD129" s="31">
        <v>1</v>
      </c>
      <c r="DE129" s="31">
        <v>1</v>
      </c>
      <c r="DF129" s="31">
        <v>0.98694516971279378</v>
      </c>
      <c r="DG129" s="31">
        <v>1</v>
      </c>
      <c r="DH129" s="31">
        <v>1</v>
      </c>
      <c r="DI129" s="31">
        <v>1</v>
      </c>
      <c r="DJ129" s="31">
        <v>1</v>
      </c>
      <c r="DK129" s="31">
        <v>1</v>
      </c>
      <c r="DL129" s="31">
        <v>1</v>
      </c>
      <c r="DM129" s="31">
        <v>1</v>
      </c>
      <c r="DN129" s="31">
        <v>1</v>
      </c>
      <c r="DO129" s="31">
        <v>1</v>
      </c>
      <c r="DP129" s="31">
        <v>1</v>
      </c>
      <c r="DQ129" s="31">
        <v>1</v>
      </c>
      <c r="DR129" s="31">
        <v>1</v>
      </c>
      <c r="DS129" s="31">
        <v>1</v>
      </c>
      <c r="DT129" s="31">
        <v>1</v>
      </c>
      <c r="DU129" s="31">
        <v>1</v>
      </c>
      <c r="DV129" s="31">
        <v>1</v>
      </c>
      <c r="DW129" s="31">
        <v>1</v>
      </c>
      <c r="DX129" s="31">
        <v>1</v>
      </c>
      <c r="DY129" s="31">
        <v>1</v>
      </c>
      <c r="DZ129" s="31">
        <v>1</v>
      </c>
      <c r="EA129" s="31">
        <v>1</v>
      </c>
      <c r="EB129" s="31">
        <v>1</v>
      </c>
      <c r="EC129" s="31">
        <v>1</v>
      </c>
      <c r="ED129" s="31">
        <v>1</v>
      </c>
      <c r="EE129" s="31">
        <v>1</v>
      </c>
      <c r="EF129" s="31">
        <v>1</v>
      </c>
      <c r="EG129" s="31">
        <v>1</v>
      </c>
      <c r="EH129" s="31">
        <v>1</v>
      </c>
      <c r="EI129" s="31">
        <v>1</v>
      </c>
      <c r="EJ129" s="31">
        <v>1</v>
      </c>
      <c r="EK129" s="31">
        <v>1</v>
      </c>
      <c r="EL129" s="31">
        <v>1</v>
      </c>
    </row>
    <row r="130" spans="38:142" x14ac:dyDescent="0.35">
      <c r="AL130" s="19" t="s">
        <v>166</v>
      </c>
      <c r="AM130" s="31">
        <v>0.95683453237410077</v>
      </c>
      <c r="AN130" s="31">
        <v>0.88129496402877694</v>
      </c>
      <c r="AO130" s="31">
        <v>0.94964028776978415</v>
      </c>
      <c r="AP130" s="31">
        <v>0.94244604316546765</v>
      </c>
      <c r="AQ130" s="31">
        <v>0.96762589928057552</v>
      </c>
      <c r="AR130" s="31">
        <v>0.88848920863309355</v>
      </c>
      <c r="AS130" s="31">
        <v>0.93525179856115104</v>
      </c>
      <c r="AT130" s="31">
        <v>0.9316546762589929</v>
      </c>
      <c r="AU130" s="31">
        <v>0.90287769784172667</v>
      </c>
      <c r="AV130" s="31">
        <v>0.92500000000000004</v>
      </c>
      <c r="AW130" s="31">
        <v>0.91335740072202165</v>
      </c>
      <c r="AX130" s="31">
        <v>0.90613718411552346</v>
      </c>
      <c r="AY130" s="31">
        <v>0.92142857142857137</v>
      </c>
      <c r="AZ130" s="31">
        <v>0.92907801418439717</v>
      </c>
      <c r="BA130" s="31">
        <v>0.92198581560283688</v>
      </c>
      <c r="BB130" s="31">
        <v>0.91712352627072546</v>
      </c>
      <c r="BC130" s="31">
        <v>0.91726618705035967</v>
      </c>
      <c r="BD130" s="31">
        <v>0.88129496402877694</v>
      </c>
      <c r="BE130" s="31">
        <v>0.92086330935251803</v>
      </c>
      <c r="BF130" s="31">
        <v>0.91007194244604317</v>
      </c>
      <c r="BG130" s="31">
        <v>0.84892086330935257</v>
      </c>
      <c r="BH130" s="31">
        <v>0.89530685920577613</v>
      </c>
      <c r="BI130" s="31">
        <v>0.89568345323741005</v>
      </c>
      <c r="BJ130" s="31">
        <v>0.89562965409003392</v>
      </c>
      <c r="BK130" s="31">
        <v>0.73520249221183798</v>
      </c>
      <c r="BL130" s="31">
        <v>0.89568345323741005</v>
      </c>
      <c r="BM130" s="31">
        <v>0.64174454828660432</v>
      </c>
      <c r="BN130" s="31">
        <v>0.63239875389408096</v>
      </c>
      <c r="BO130" s="31">
        <v>0.83838383838383834</v>
      </c>
      <c r="BP130" s="31">
        <v>0.89928057553956831</v>
      </c>
      <c r="BQ130" s="31">
        <v>0.90647482014388492</v>
      </c>
      <c r="BR130" s="31">
        <v>0.79273835452817498</v>
      </c>
      <c r="BS130" s="31">
        <v>0.84837545126353786</v>
      </c>
      <c r="BT130" s="31">
        <v>0.80866425992779778</v>
      </c>
      <c r="BU130" s="31">
        <v>0.88086642599277976</v>
      </c>
      <c r="BV130" s="31">
        <v>0.87003610108303253</v>
      </c>
      <c r="BW130" s="31">
        <v>0.84115523465703967</v>
      </c>
      <c r="BX130" s="31">
        <v>0.86642599277978338</v>
      </c>
      <c r="BY130" s="31">
        <v>0.90252707581227432</v>
      </c>
      <c r="BZ130" s="31">
        <v>0.85972150593089225</v>
      </c>
      <c r="CA130" s="31">
        <v>0.90654205607476634</v>
      </c>
      <c r="CB130" s="31">
        <v>0.90613718411552346</v>
      </c>
      <c r="CC130" s="31">
        <v>0.88124999999999998</v>
      </c>
      <c r="CD130" s="31">
        <v>0.89408099688473519</v>
      </c>
      <c r="CE130" s="31">
        <v>0.91562500000000002</v>
      </c>
      <c r="CF130" s="31">
        <v>0.9</v>
      </c>
      <c r="CG130" s="31">
        <v>0.91874999999999996</v>
      </c>
      <c r="CH130" s="31">
        <v>0.9031978910107179</v>
      </c>
      <c r="CI130" s="31">
        <v>0.88437500000000002</v>
      </c>
      <c r="CJ130" s="31">
        <v>0.90625</v>
      </c>
      <c r="CK130" s="31">
        <v>0.80625000000000002</v>
      </c>
      <c r="CL130" s="31">
        <v>0.84062499999999996</v>
      </c>
      <c r="CM130" s="31">
        <v>0.90031152647975077</v>
      </c>
      <c r="CN130" s="31">
        <v>0.92812499999999998</v>
      </c>
      <c r="CO130" s="31">
        <v>0.9</v>
      </c>
      <c r="CP130" s="31">
        <v>0.88084807521139297</v>
      </c>
      <c r="CQ130" s="31">
        <v>0.88437500000000002</v>
      </c>
      <c r="CR130" s="31">
        <v>0.87187499999999996</v>
      </c>
      <c r="CS130" s="31">
        <v>0.85</v>
      </c>
      <c r="CT130" s="31">
        <v>0.86875000000000002</v>
      </c>
      <c r="CU130" s="31">
        <v>0.9</v>
      </c>
      <c r="CV130" s="31">
        <v>0.89440993788819878</v>
      </c>
      <c r="CW130" s="31">
        <v>0.89719626168224298</v>
      </c>
      <c r="CX130" s="31">
        <v>0.88094374279577736</v>
      </c>
      <c r="CY130" s="31">
        <v>0.89408099688473519</v>
      </c>
      <c r="CZ130" s="31">
        <v>0.859375</v>
      </c>
      <c r="DA130" s="31">
        <v>0.91874999999999996</v>
      </c>
      <c r="DB130" s="31">
        <v>0.94062500000000004</v>
      </c>
      <c r="DC130" s="31">
        <v>0.89375000000000004</v>
      </c>
      <c r="DD130" s="31">
        <v>0.90625</v>
      </c>
      <c r="DE130" s="31">
        <v>0.890625</v>
      </c>
      <c r="DF130" s="31">
        <v>0.90049371384067645</v>
      </c>
      <c r="DG130" s="31">
        <v>0.90625</v>
      </c>
      <c r="DH130" s="31">
        <v>0.90937500000000004</v>
      </c>
      <c r="DI130" s="31">
        <v>0.88198757763975155</v>
      </c>
      <c r="DJ130" s="31">
        <v>0.87267080745341619</v>
      </c>
      <c r="DK130" s="31">
        <v>0.8909657320872274</v>
      </c>
      <c r="DL130" s="31">
        <v>0.90937500000000004</v>
      </c>
      <c r="DM130" s="31">
        <v>0.91277258566978192</v>
      </c>
      <c r="DN130" s="31">
        <v>0.89762810040716801</v>
      </c>
      <c r="DO130" s="31">
        <v>0.90312499999999996</v>
      </c>
      <c r="DP130" s="31">
        <v>0.88437500000000002</v>
      </c>
      <c r="DQ130" s="31">
        <v>0.88124999999999998</v>
      </c>
      <c r="DR130" s="31">
        <v>0.86875000000000002</v>
      </c>
      <c r="DS130" s="31">
        <v>0.921875</v>
      </c>
      <c r="DT130" s="31">
        <v>0.84062499999999996</v>
      </c>
      <c r="DU130" s="31">
        <v>0.90625</v>
      </c>
      <c r="DV130" s="31">
        <v>0.88660714285714282</v>
      </c>
      <c r="DW130" s="31">
        <v>0.87812500000000004</v>
      </c>
      <c r="DX130" s="31">
        <v>0.88437500000000002</v>
      </c>
      <c r="DY130" s="31">
        <v>0.87812500000000004</v>
      </c>
      <c r="DZ130" s="31">
        <v>0.88749999999999996</v>
      </c>
      <c r="EA130" s="31">
        <v>0.93125000000000002</v>
      </c>
      <c r="EB130" s="31">
        <v>0.890625</v>
      </c>
      <c r="EC130" s="31">
        <v>0.93125000000000002</v>
      </c>
      <c r="ED130" s="31">
        <v>0.8973214285714286</v>
      </c>
      <c r="EE130" s="31">
        <v>0.90353697749196138</v>
      </c>
      <c r="EF130" s="31">
        <v>0.890625</v>
      </c>
      <c r="EG130" s="31">
        <v>0.89710610932475887</v>
      </c>
      <c r="EH130" s="31">
        <v>0.89743589743589747</v>
      </c>
      <c r="EI130" s="31">
        <v>0.89067524115755625</v>
      </c>
      <c r="EJ130" s="31">
        <v>0.890625</v>
      </c>
      <c r="EK130" s="31">
        <v>0.85852090032154338</v>
      </c>
      <c r="EL130" s="31">
        <v>0.88978930367595954</v>
      </c>
    </row>
    <row r="131" spans="38:142" x14ac:dyDescent="0.35">
      <c r="AL131" s="19" t="s">
        <v>167</v>
      </c>
      <c r="AM131" s="31">
        <v>0.96755162241887904</v>
      </c>
      <c r="AN131" s="31">
        <v>0.95677233429394815</v>
      </c>
      <c r="AO131" s="31">
        <v>0.95238095238095233</v>
      </c>
      <c r="AP131" s="31">
        <v>0.93805309734513276</v>
      </c>
      <c r="AQ131" s="31">
        <v>0.98255813953488369</v>
      </c>
      <c r="AR131" s="31">
        <v>0.97714285714285709</v>
      </c>
      <c r="AS131" s="31">
        <v>0.97714285714285709</v>
      </c>
      <c r="AT131" s="31">
        <v>0.96451455146564435</v>
      </c>
      <c r="AU131" s="31">
        <v>1</v>
      </c>
      <c r="AV131" s="31">
        <v>0.97126436781609193</v>
      </c>
      <c r="AW131" s="31">
        <v>0.94545454545454544</v>
      </c>
      <c r="AX131" s="31">
        <v>0.95180722891566261</v>
      </c>
      <c r="AY131" s="31">
        <v>0.98240469208211145</v>
      </c>
      <c r="AZ131" s="31">
        <v>0.98567335243553011</v>
      </c>
      <c r="BA131" s="31">
        <v>0.98250728862973757</v>
      </c>
      <c r="BB131" s="31">
        <v>0.97415878219052554</v>
      </c>
      <c r="BC131" s="31">
        <v>0.96374622356495465</v>
      </c>
      <c r="BD131" s="31">
        <v>0.97935103244837762</v>
      </c>
      <c r="BE131" s="31">
        <v>0.92660550458715596</v>
      </c>
      <c r="BF131" s="31">
        <v>0.91975308641975306</v>
      </c>
      <c r="BG131" s="31">
        <v>0.96385542168674698</v>
      </c>
      <c r="BH131" s="31">
        <v>0.97941176470588232</v>
      </c>
      <c r="BI131" s="31">
        <v>0.98203592814371254</v>
      </c>
      <c r="BJ131" s="31">
        <v>0.95925128022236905</v>
      </c>
      <c r="BK131" s="31">
        <v>0.90378006872852235</v>
      </c>
      <c r="BL131" s="31">
        <v>0.98165137614678899</v>
      </c>
      <c r="BM131" s="31">
        <v>0.83392226148409898</v>
      </c>
      <c r="BN131" s="31">
        <v>0.84083044982698962</v>
      </c>
      <c r="BO131" s="31">
        <v>0.88235294117647056</v>
      </c>
      <c r="BP131" s="31">
        <v>0.91588785046728971</v>
      </c>
      <c r="BQ131" s="31">
        <v>0.89677419354838706</v>
      </c>
      <c r="BR131" s="31">
        <v>0.89359987733979229</v>
      </c>
      <c r="BS131" s="31">
        <v>0.97239263803680986</v>
      </c>
      <c r="BT131" s="31">
        <v>0.88</v>
      </c>
      <c r="BU131" s="31">
        <v>0.89215686274509809</v>
      </c>
      <c r="BV131" s="31">
        <v>0.92236024844720499</v>
      </c>
      <c r="BW131" s="31">
        <v>0.97297297297297303</v>
      </c>
      <c r="BX131" s="31">
        <v>0.91205211726384361</v>
      </c>
      <c r="BY131" s="31">
        <v>0.97264437689969607</v>
      </c>
      <c r="BZ131" s="31">
        <v>0.93208274519508938</v>
      </c>
      <c r="CA131" s="31">
        <v>0.94864048338368578</v>
      </c>
      <c r="CB131" s="31">
        <v>0.94512195121951215</v>
      </c>
      <c r="CC131" s="31">
        <v>0.9228395061728395</v>
      </c>
      <c r="CD131" s="31">
        <v>0.97885196374622352</v>
      </c>
      <c r="CE131" s="31">
        <v>0.97897897897897901</v>
      </c>
      <c r="CF131" s="31">
        <v>0.96264367816091956</v>
      </c>
      <c r="CG131" s="31">
        <v>0.97398843930635837</v>
      </c>
      <c r="CH131" s="31">
        <v>0.95872357156693122</v>
      </c>
      <c r="CI131" s="31">
        <v>0.96969696969696972</v>
      </c>
      <c r="CJ131" s="31">
        <v>0.97368421052631582</v>
      </c>
      <c r="CK131" s="31">
        <v>0.92682926829268297</v>
      </c>
      <c r="CL131" s="31">
        <v>0.92682926829268297</v>
      </c>
      <c r="CM131" s="31">
        <v>0.97383720930232553</v>
      </c>
      <c r="CN131" s="31">
        <v>0.96590909090909094</v>
      </c>
      <c r="CO131" s="31">
        <v>0.93805309734513276</v>
      </c>
      <c r="CP131" s="31">
        <v>0.95354844490931434</v>
      </c>
      <c r="CQ131" s="31">
        <v>0.96352583586626139</v>
      </c>
      <c r="CR131" s="31">
        <v>0.97701149425287359</v>
      </c>
      <c r="CS131" s="31">
        <v>0.93457943925233644</v>
      </c>
      <c r="CT131" s="31">
        <v>0.94065281899109787</v>
      </c>
      <c r="CU131" s="31">
        <v>0.96220930232558144</v>
      </c>
      <c r="CV131" s="31">
        <v>0.97435897435897434</v>
      </c>
      <c r="CW131" s="31">
        <v>0.97687861271676302</v>
      </c>
      <c r="CX131" s="31">
        <v>0.96131663968055547</v>
      </c>
      <c r="CY131" s="31">
        <v>0.98219584569732943</v>
      </c>
      <c r="CZ131" s="31">
        <v>0.9719101123595506</v>
      </c>
      <c r="DA131" s="31">
        <v>0.92944785276073616</v>
      </c>
      <c r="DB131" s="31">
        <v>0.94392523364485981</v>
      </c>
      <c r="DC131" s="31">
        <v>0.97633136094674555</v>
      </c>
      <c r="DD131" s="31">
        <v>0.95726495726495731</v>
      </c>
      <c r="DE131" s="31">
        <v>0.99708454810495628</v>
      </c>
      <c r="DF131" s="31">
        <v>0.9654514158255908</v>
      </c>
      <c r="DG131" s="31">
        <v>0.967741935483871</v>
      </c>
      <c r="DH131" s="31">
        <v>0.96142433234421365</v>
      </c>
      <c r="DI131" s="31">
        <v>0.94311377245508987</v>
      </c>
      <c r="DJ131" s="31">
        <v>0.93215339233038352</v>
      </c>
      <c r="DK131" s="31">
        <v>0.97352941176470587</v>
      </c>
      <c r="DL131" s="31">
        <v>0.96802325581395354</v>
      </c>
      <c r="DM131" s="31">
        <v>0.97660818713450293</v>
      </c>
      <c r="DN131" s="31">
        <v>0.9603706124752458</v>
      </c>
      <c r="DO131" s="31">
        <v>0.98230088495575218</v>
      </c>
      <c r="DP131" s="31">
        <v>0.9652173913043478</v>
      </c>
      <c r="DQ131" s="31">
        <v>0.9487951807228916</v>
      </c>
      <c r="DR131" s="31">
        <v>0.97965116279069764</v>
      </c>
      <c r="DS131" s="31">
        <v>0.9528023598820059</v>
      </c>
      <c r="DT131" s="31">
        <v>0.97421203438395421</v>
      </c>
      <c r="DU131" s="31">
        <v>0.96198830409356728</v>
      </c>
      <c r="DV131" s="31">
        <v>0.96642390259045963</v>
      </c>
      <c r="DW131" s="31">
        <v>0.99716713881019825</v>
      </c>
      <c r="DX131" s="31">
        <v>0.99717514124293782</v>
      </c>
      <c r="DY131" s="31">
        <v>0.98275862068965514</v>
      </c>
      <c r="DZ131" s="31">
        <v>0.95058139534883723</v>
      </c>
      <c r="EA131" s="31">
        <v>0.9887323943661972</v>
      </c>
      <c r="EB131" s="31">
        <v>0.9972067039106145</v>
      </c>
      <c r="EC131" s="31">
        <v>0.98611111111111116</v>
      </c>
      <c r="ED131" s="31">
        <v>0.98567607221136455</v>
      </c>
      <c r="EE131" s="31">
        <v>0.97701149425287359</v>
      </c>
      <c r="EF131" s="31">
        <v>0.96610169491525422</v>
      </c>
      <c r="EG131" s="31">
        <v>0.93215339233038352</v>
      </c>
      <c r="EH131" s="31">
        <v>0.93215339233038352</v>
      </c>
      <c r="EI131" s="31">
        <v>0.96317280453257792</v>
      </c>
      <c r="EJ131" s="31">
        <v>0.98319327731092432</v>
      </c>
      <c r="EK131" s="31">
        <v>0.9888579387186629</v>
      </c>
      <c r="EL131" s="31">
        <v>0.96323485634158001</v>
      </c>
    </row>
    <row r="132" spans="38:142" x14ac:dyDescent="0.35">
      <c r="AL132" s="19" t="s">
        <v>338</v>
      </c>
      <c r="AM132" s="31">
        <v>0.90300230946882221</v>
      </c>
      <c r="AN132" s="31">
        <v>0.90352941176470591</v>
      </c>
      <c r="AO132" s="31">
        <v>0.90577149587750294</v>
      </c>
      <c r="AP132" s="31">
        <v>0.89302325581395348</v>
      </c>
      <c r="AQ132" s="31">
        <v>0.91055045871559637</v>
      </c>
      <c r="AR132" s="31">
        <v>0.91269841269841268</v>
      </c>
      <c r="AS132" s="31">
        <v>0.92511520737327191</v>
      </c>
      <c r="AT132" s="31">
        <v>0.9076700788160379</v>
      </c>
      <c r="AU132" s="31">
        <v>0.93302540415704383</v>
      </c>
      <c r="AV132" s="31">
        <v>0.91249999999999998</v>
      </c>
      <c r="AW132" s="31">
        <v>0.92041522491349481</v>
      </c>
      <c r="AX132" s="31">
        <v>0.93918128654970756</v>
      </c>
      <c r="AY132" s="31">
        <v>0.94285714285714284</v>
      </c>
      <c r="AZ132" s="31">
        <v>0.92201834862385323</v>
      </c>
      <c r="BA132" s="31">
        <v>0.93004587155963303</v>
      </c>
      <c r="BB132" s="31">
        <v>0.9285776112372679</v>
      </c>
      <c r="BC132" s="31">
        <v>0.9309551208285386</v>
      </c>
      <c r="BD132" s="31">
        <v>0.93800229621125142</v>
      </c>
      <c r="BE132" s="31">
        <v>0.90867052023121386</v>
      </c>
      <c r="BF132" s="31">
        <v>0.92108362779740871</v>
      </c>
      <c r="BG132" s="31">
        <v>0.94219653179190754</v>
      </c>
      <c r="BH132" s="31">
        <v>0.94712643678160924</v>
      </c>
      <c r="BI132" s="31">
        <v>0.94393592677345539</v>
      </c>
      <c r="BJ132" s="31">
        <v>0.93313863720219781</v>
      </c>
      <c r="BK132" s="31">
        <v>0.87546239210850807</v>
      </c>
      <c r="BL132" s="31">
        <v>0.92147806004618937</v>
      </c>
      <c r="BM132" s="31">
        <v>0.80073800738007384</v>
      </c>
      <c r="BN132" s="31">
        <v>0.85067319461444313</v>
      </c>
      <c r="BO132" s="31">
        <v>0.90470446320868514</v>
      </c>
      <c r="BP132" s="31">
        <v>0.93244873341375156</v>
      </c>
      <c r="BQ132" s="31">
        <v>0.91017964071856283</v>
      </c>
      <c r="BR132" s="31">
        <v>0.88509778449860199</v>
      </c>
      <c r="BS132" s="31">
        <v>0.92417061611374407</v>
      </c>
      <c r="BT132" s="31">
        <v>0.89010989010989006</v>
      </c>
      <c r="BU132" s="31">
        <v>0.90655339805825241</v>
      </c>
      <c r="BV132" s="31">
        <v>0.91060786650774728</v>
      </c>
      <c r="BW132" s="31">
        <v>0.93404004711425204</v>
      </c>
      <c r="BX132" s="31">
        <v>0.90722891566265063</v>
      </c>
      <c r="BY132" s="31">
        <v>0.93357058125741399</v>
      </c>
      <c r="BZ132" s="31">
        <v>0.91518304497485004</v>
      </c>
      <c r="CA132" s="31">
        <v>0.93692660550458717</v>
      </c>
      <c r="CB132" s="31">
        <v>0.93119810201660735</v>
      </c>
      <c r="CC132" s="31">
        <v>0.91963260619977039</v>
      </c>
      <c r="CD132" s="31">
        <v>0.91523482245131726</v>
      </c>
      <c r="CE132" s="31">
        <v>0.92588369441277085</v>
      </c>
      <c r="CF132" s="31">
        <v>0.95053003533568903</v>
      </c>
      <c r="CG132" s="31">
        <v>0.94736842105263153</v>
      </c>
      <c r="CH132" s="31">
        <v>0.93239632671048212</v>
      </c>
      <c r="CI132" s="31">
        <v>0.91484464902186424</v>
      </c>
      <c r="CJ132" s="31">
        <v>0.92605233219567695</v>
      </c>
      <c r="CK132" s="31">
        <v>0.90404624277456647</v>
      </c>
      <c r="CL132" s="31">
        <v>0.90094339622641506</v>
      </c>
      <c r="CM132" s="31">
        <v>0.90753424657534243</v>
      </c>
      <c r="CN132" s="31">
        <v>0.91743119266055051</v>
      </c>
      <c r="CO132" s="31">
        <v>0.92750287686996546</v>
      </c>
      <c r="CP132" s="31">
        <v>0.91405070518919718</v>
      </c>
      <c r="CQ132" s="31">
        <v>0.91457858769931666</v>
      </c>
      <c r="CR132" s="31">
        <v>0.92244418331374856</v>
      </c>
      <c r="CS132" s="31">
        <v>0.9149425287356322</v>
      </c>
      <c r="CT132" s="31">
        <v>0.92668957617411229</v>
      </c>
      <c r="CU132" s="31">
        <v>0.94124423963133641</v>
      </c>
      <c r="CV132" s="31">
        <v>0.92185730464326165</v>
      </c>
      <c r="CW132" s="31">
        <v>0.92403628117913827</v>
      </c>
      <c r="CX132" s="31">
        <v>0.92368467162522083</v>
      </c>
      <c r="CY132" s="31">
        <v>0.93249427917620142</v>
      </c>
      <c r="CZ132" s="31">
        <v>0.95091324200913241</v>
      </c>
      <c r="DA132" s="31">
        <v>0.93142857142857138</v>
      </c>
      <c r="DB132" s="31">
        <v>0.92508513053348462</v>
      </c>
      <c r="DC132" s="31">
        <v>0.92630385487528344</v>
      </c>
      <c r="DD132" s="31">
        <v>0.94211123723042001</v>
      </c>
      <c r="DE132" s="31">
        <v>0.94683257918552033</v>
      </c>
      <c r="DF132" s="31">
        <v>0.93645269920551633</v>
      </c>
      <c r="DG132" s="31">
        <v>0.93656286043829295</v>
      </c>
      <c r="DH132" s="31">
        <v>0.94356659142212185</v>
      </c>
      <c r="DI132" s="31">
        <v>0.92041522491349481</v>
      </c>
      <c r="DJ132" s="31">
        <v>0.92699884125144849</v>
      </c>
      <c r="DK132" s="31">
        <v>0.94367816091954027</v>
      </c>
      <c r="DL132" s="31">
        <v>0.94130925507900676</v>
      </c>
      <c r="DM132" s="31">
        <v>0.94318181818181823</v>
      </c>
      <c r="DN132" s="31">
        <v>0.93653039317224607</v>
      </c>
      <c r="DO132" s="31">
        <v>0.9124423963133641</v>
      </c>
      <c r="DP132" s="31">
        <v>0.92635212888377449</v>
      </c>
      <c r="DQ132" s="31">
        <v>0.90196078431372551</v>
      </c>
      <c r="DR132" s="31">
        <v>0.90804597701149425</v>
      </c>
      <c r="DS132" s="31">
        <v>0.92156862745098034</v>
      </c>
      <c r="DT132" s="31">
        <v>0.93257142857142861</v>
      </c>
      <c r="DU132" s="31">
        <v>0.91705069124423966</v>
      </c>
      <c r="DV132" s="31">
        <v>0.91714171911271525</v>
      </c>
      <c r="DW132" s="31">
        <v>0.94083526682134566</v>
      </c>
      <c r="DX132" s="31">
        <v>0.92413793103448272</v>
      </c>
      <c r="DY132" s="31">
        <v>0.919908466819222</v>
      </c>
      <c r="DZ132" s="31">
        <v>0.92041522491349481</v>
      </c>
      <c r="EA132" s="31">
        <v>0.9273356401384083</v>
      </c>
      <c r="EB132" s="31">
        <v>0.94308943089430897</v>
      </c>
      <c r="EC132" s="31">
        <v>0.92988505747126438</v>
      </c>
      <c r="ED132" s="31">
        <v>0.92937243115607526</v>
      </c>
      <c r="EE132" s="31">
        <v>0.92799070847851339</v>
      </c>
      <c r="EF132" s="31">
        <v>0.93155452436194897</v>
      </c>
      <c r="EG132" s="31">
        <v>0.90951821386603993</v>
      </c>
      <c r="EH132" s="31">
        <v>0.91451990632318503</v>
      </c>
      <c r="EI132" s="31">
        <v>0.92027334851936216</v>
      </c>
      <c r="EJ132" s="31">
        <v>0.92635212888377449</v>
      </c>
      <c r="EK132" s="31">
        <v>0.9355581127733027</v>
      </c>
      <c r="EL132" s="31">
        <v>0.92368099188658948</v>
      </c>
    </row>
    <row r="133" spans="38:142" x14ac:dyDescent="0.35">
      <c r="AL133" s="19" t="s">
        <v>38</v>
      </c>
      <c r="AM133" s="31">
        <v>0.93377607146110009</v>
      </c>
      <c r="AN133" s="31">
        <v>0.9258583135810835</v>
      </c>
      <c r="AO133" s="31" t="e">
        <v>#NUM!</v>
      </c>
      <c r="AP133" s="31">
        <v>0.92448699188399364</v>
      </c>
      <c r="AQ133" s="31">
        <v>0.937343537856415</v>
      </c>
      <c r="AR133" s="31">
        <v>0.93517597568309974</v>
      </c>
      <c r="AS133" s="31" t="e">
        <v>#NUM!</v>
      </c>
      <c r="AT133" s="31" t="e">
        <v>#NUM!</v>
      </c>
      <c r="AU133" s="31">
        <v>0.93876162410705799</v>
      </c>
      <c r="AV133" s="31">
        <v>0.93286389886994769</v>
      </c>
      <c r="AW133" s="31" t="e">
        <v>#NUM!</v>
      </c>
      <c r="AX133" s="31" t="e">
        <v>#NUM!</v>
      </c>
      <c r="AY133" s="31">
        <v>0.94220869788399964</v>
      </c>
      <c r="AZ133" s="31">
        <v>0.94049639174285471</v>
      </c>
      <c r="BA133" s="31">
        <v>0.94173496671839485</v>
      </c>
      <c r="BB133" s="31" t="e">
        <v>#NUM!</v>
      </c>
      <c r="BC133" s="31">
        <v>0.92394839278882424</v>
      </c>
      <c r="BD133" s="31">
        <v>0.93183415690497662</v>
      </c>
      <c r="BE133" s="31" t="e">
        <v>#NUM!</v>
      </c>
      <c r="BF133" s="31">
        <v>0.89906496224464605</v>
      </c>
      <c r="BG133" s="31">
        <v>0.92863947947630876</v>
      </c>
      <c r="BH133" s="31">
        <v>0.94073151980176262</v>
      </c>
      <c r="BI133" s="31">
        <v>0.93493158553832845</v>
      </c>
      <c r="BJ133" s="31" t="e">
        <v>#NUM!</v>
      </c>
      <c r="BK133" s="31">
        <v>0.85626729065166085</v>
      </c>
      <c r="BL133" s="31">
        <v>0.91533929270942505</v>
      </c>
      <c r="BM133" s="31">
        <v>0.7831125878489652</v>
      </c>
      <c r="BN133" s="31">
        <v>0.79346937959986452</v>
      </c>
      <c r="BO133" s="31">
        <v>0.88536509808229646</v>
      </c>
      <c r="BP133" s="31">
        <v>0.91543124524730235</v>
      </c>
      <c r="BQ133" s="31">
        <v>0.90405386432274659</v>
      </c>
      <c r="BR133" s="31">
        <v>0.8647198226374665</v>
      </c>
      <c r="BS133" s="31">
        <v>0.91247772605965771</v>
      </c>
      <c r="BT133" s="31">
        <v>0.83452143730469952</v>
      </c>
      <c r="BU133" s="31">
        <v>0.89107083263568265</v>
      </c>
      <c r="BV133" s="31">
        <v>0.90008737953962226</v>
      </c>
      <c r="BW133" s="31">
        <v>0.91068483903745001</v>
      </c>
      <c r="BX133" s="31">
        <v>0.87074845558109581</v>
      </c>
      <c r="BY133" s="31">
        <v>0.89695325881077947</v>
      </c>
      <c r="BZ133" s="31">
        <v>0.88807770413842613</v>
      </c>
      <c r="CA133" s="31">
        <v>0.92352175235571843</v>
      </c>
      <c r="CB133" s="31">
        <v>0.90899860225704776</v>
      </c>
      <c r="CC133" s="31">
        <v>0.90765173914142305</v>
      </c>
      <c r="CD133" s="31">
        <v>0.90897592600051669</v>
      </c>
      <c r="CE133" s="31">
        <v>0.92967352075655729</v>
      </c>
      <c r="CF133" s="31">
        <v>0.92363569743255192</v>
      </c>
      <c r="CG133" s="31">
        <v>0.93131279236566378</v>
      </c>
      <c r="CH133" s="31">
        <v>0.91911000432992385</v>
      </c>
      <c r="CI133" s="31">
        <v>0.92127989418136857</v>
      </c>
      <c r="CJ133" s="31">
        <v>0.92455345040489545</v>
      </c>
      <c r="CK133" s="31">
        <v>0.90754434972709974</v>
      </c>
      <c r="CL133" s="31">
        <v>0.90773522846970944</v>
      </c>
      <c r="CM133" s="31">
        <v>0.92474867097877977</v>
      </c>
      <c r="CN133" s="31">
        <v>0.93152052385270268</v>
      </c>
      <c r="CO133" s="31">
        <v>0.92845885315497312</v>
      </c>
      <c r="CP133" s="31">
        <v>0.92083442439564744</v>
      </c>
      <c r="CQ133" s="31">
        <v>0.92194008813504746</v>
      </c>
      <c r="CR133" s="31">
        <v>0.92208248466439502</v>
      </c>
      <c r="CS133" s="31">
        <v>0.90646564300081867</v>
      </c>
      <c r="CT133" s="31">
        <v>0.90763687880894983</v>
      </c>
      <c r="CU133" s="31">
        <v>0.9266213760171782</v>
      </c>
      <c r="CV133" s="31">
        <v>0.92765924832599422</v>
      </c>
      <c r="CW133" s="31">
        <v>0.9254488550053841</v>
      </c>
      <c r="CX133" s="31">
        <v>0.91969351056539506</v>
      </c>
      <c r="CY133" s="31">
        <v>0.92728059528815143</v>
      </c>
      <c r="CZ133" s="31">
        <v>0.92291739356565072</v>
      </c>
      <c r="DA133" s="31">
        <v>0.91221762151162289</v>
      </c>
      <c r="DB133" s="31">
        <v>0.9105087258045933</v>
      </c>
      <c r="DC133" s="31">
        <v>0.92849462431416618</v>
      </c>
      <c r="DD133" s="31">
        <v>0.93080193505188902</v>
      </c>
      <c r="DE133" s="31">
        <v>0.93112493496725313</v>
      </c>
      <c r="DF133" s="31">
        <v>0.92333511864333073</v>
      </c>
      <c r="DG133" s="31">
        <v>0.93076681209574064</v>
      </c>
      <c r="DH133" s="31">
        <v>0.92732793230538901</v>
      </c>
      <c r="DI133" s="31">
        <v>0.91896791830171254</v>
      </c>
      <c r="DJ133" s="31">
        <v>0.91676469436945374</v>
      </c>
      <c r="DK133" s="31">
        <v>0.93404673551633866</v>
      </c>
      <c r="DL133" s="31">
        <v>0.93596931099211678</v>
      </c>
      <c r="DM133" s="31">
        <v>0.93791996114834963</v>
      </c>
      <c r="DN133" s="31">
        <v>0.92882333781844384</v>
      </c>
      <c r="DO133" s="31">
        <v>0.92758245420654084</v>
      </c>
      <c r="DP133" s="31">
        <v>0.92860661155537494</v>
      </c>
      <c r="DQ133" s="31">
        <v>0.91076895025430982</v>
      </c>
      <c r="DR133" s="31">
        <v>0.91065633759432474</v>
      </c>
      <c r="DS133" s="31">
        <v>0.93239779570057446</v>
      </c>
      <c r="DT133" s="31">
        <v>0.935661968191147</v>
      </c>
      <c r="DU133" s="31">
        <v>0.93507599692995103</v>
      </c>
      <c r="DV133" s="31">
        <v>0.92582144491888885</v>
      </c>
      <c r="DW133" s="31">
        <v>0.92727476471481118</v>
      </c>
      <c r="DX133" s="31">
        <v>0.92714384726052579</v>
      </c>
      <c r="DY133" s="31">
        <v>0.91521916824365013</v>
      </c>
      <c r="DZ133" s="31">
        <v>0.91165208436770095</v>
      </c>
      <c r="EA133" s="31">
        <v>0.93449046548679671</v>
      </c>
      <c r="EB133" s="31">
        <v>0.9350074233812401</v>
      </c>
      <c r="EC133" s="31">
        <v>0.93495053903385361</v>
      </c>
      <c r="ED133" s="31">
        <v>0.9265340417840825</v>
      </c>
      <c r="EE133" s="31">
        <v>0.92683842345043665</v>
      </c>
      <c r="EF133" s="31">
        <v>0.92905105351898953</v>
      </c>
      <c r="EG133" s="31">
        <v>0.91218059118805339</v>
      </c>
      <c r="EH133" s="31">
        <v>0.91369370244793668</v>
      </c>
      <c r="EI133" s="31">
        <v>0.93194637931311697</v>
      </c>
      <c r="EJ133" s="31">
        <v>0.93747898096632254</v>
      </c>
      <c r="EK133" s="31">
        <v>0.93610495633687285</v>
      </c>
      <c r="EL133" s="31">
        <v>0.92675629817453131</v>
      </c>
    </row>
    <row r="149" spans="38:56" x14ac:dyDescent="0.35">
      <c r="AL149" s="16" t="s">
        <v>197</v>
      </c>
      <c r="AM149" s="27" t="s">
        <v>42</v>
      </c>
      <c r="AN149" s="27" t="s">
        <v>43</v>
      </c>
      <c r="AO149" s="27" t="s">
        <v>44</v>
      </c>
      <c r="AP149" s="27" t="s">
        <v>45</v>
      </c>
      <c r="AQ149" s="27" t="s">
        <v>46</v>
      </c>
      <c r="AR149" s="27" t="s">
        <v>47</v>
      </c>
      <c r="AS149" s="27" t="s">
        <v>48</v>
      </c>
      <c r="AT149" s="27" t="s">
        <v>49</v>
      </c>
      <c r="AU149" s="27" t="s">
        <v>50</v>
      </c>
      <c r="AV149" s="27" t="s">
        <v>51</v>
      </c>
      <c r="AW149" s="27" t="s">
        <v>52</v>
      </c>
      <c r="AX149" s="27" t="s">
        <v>53</v>
      </c>
      <c r="AY149" s="27" t="s">
        <v>54</v>
      </c>
      <c r="AZ149" s="27"/>
    </row>
    <row r="150" spans="38:56" x14ac:dyDescent="0.35">
      <c r="AL150" s="16" t="s">
        <v>35</v>
      </c>
      <c r="AM150" s="27">
        <f>IF((COUNTIF(AM151:AM277,"&gt;0"))=0, "",(COUNTIF(AM151:AM277,"&gt;0")))</f>
        <v>125</v>
      </c>
      <c r="AN150" s="27">
        <f>IF((COUNTIF(AN151:AN277,"&gt;0"))=0, "",(COUNTIF(AN151:AN277,"&gt;0")))</f>
        <v>125</v>
      </c>
      <c r="AO150" s="27">
        <f>IF((COUNTIF(AO151:AO287,"&gt;0"))=0, "",(COUNTIF(AO151:AO287,"&gt;0")))</f>
        <v>122</v>
      </c>
      <c r="AP150" s="27">
        <f t="shared" ref="AP150:AX150" si="9">IF((COUNTIF(AP151:AP287,"&gt;0"))=0, "",(COUNTIF(AP151:AP287,"&gt;0")))</f>
        <v>119</v>
      </c>
      <c r="AQ150" s="27">
        <f t="shared" si="9"/>
        <v>117</v>
      </c>
      <c r="AR150" s="27">
        <f t="shared" si="9"/>
        <v>120</v>
      </c>
      <c r="AS150" s="27">
        <f t="shared" si="9"/>
        <v>122</v>
      </c>
      <c r="AT150" s="27">
        <f>IF((COUNTIF(AT151:AT287,"&gt;0"))=0, "",(COUNTIF(AT151:AT287,"&gt;0")))</f>
        <v>123</v>
      </c>
      <c r="AU150" s="27">
        <f>IF((COUNTIF(AU151:AU287,"&gt;0"))=0, "",(COUNTIF(AU151:AU287,"&gt;0")))</f>
        <v>100</v>
      </c>
      <c r="AV150" s="27">
        <f t="shared" si="9"/>
        <v>123</v>
      </c>
      <c r="AW150" s="27">
        <f t="shared" si="9"/>
        <v>123</v>
      </c>
      <c r="AX150" s="27">
        <f t="shared" si="9"/>
        <v>123</v>
      </c>
      <c r="AY150" s="27">
        <f>IF((COUNTIF(AY151:AY277,"&gt;0"))=0, "",(COUNTIF(AY151:AY277,"&gt;0")))</f>
        <v>124</v>
      </c>
      <c r="AZ150" s="27"/>
    </row>
    <row r="151" spans="38:56" x14ac:dyDescent="0.35">
      <c r="AL151" s="19" t="s">
        <v>63</v>
      </c>
      <c r="AM151">
        <f>COUNTIF($AM8:$AS8,"&gt;=85%")</f>
        <v>7</v>
      </c>
      <c r="AN151">
        <f>COUNTIF($AU8:$BA8,"&gt;=85%")</f>
        <v>7</v>
      </c>
      <c r="AO151">
        <f>COUNTIF($BC8:$BI8,"&gt;=85%")</f>
        <v>7</v>
      </c>
      <c r="AP151">
        <f>COUNTIF($BK8:$BQ8,"&gt;=85%")</f>
        <v>4</v>
      </c>
      <c r="AQ151">
        <f>COUNTIF($BS8:$BY8,"&gt;=85%")</f>
        <v>6</v>
      </c>
      <c r="AR151">
        <f>COUNTIF($CA8:$CG8,"&gt;=85%")</f>
        <v>7</v>
      </c>
      <c r="AS151">
        <f>COUNTIF($CI8:$CO8,"&gt;=85%")</f>
        <v>6</v>
      </c>
      <c r="AT151">
        <f>COUNTIF($CQ8:$CW8,"&gt;=85%")</f>
        <v>7</v>
      </c>
      <c r="AU151">
        <f>COUNTIF($CY8:$DE8,"&gt;=92%")</f>
        <v>3</v>
      </c>
      <c r="AV151">
        <f>COUNTIF($DG8:$DM8,"&gt;=85%")</f>
        <v>7</v>
      </c>
      <c r="AW151">
        <f>COUNTIF($DO8:$DU8,"&gt;=85%")</f>
        <v>7</v>
      </c>
      <c r="AX151">
        <f>COUNTIF($DW8:$EC8,"&gt;=85%")</f>
        <v>7</v>
      </c>
      <c r="AY151">
        <f>COUNTIF($EE8:$EK8,"&gt;=85%")</f>
        <v>7</v>
      </c>
    </row>
    <row r="152" spans="38:56" x14ac:dyDescent="0.35">
      <c r="AL152" s="19" t="s">
        <v>64</v>
      </c>
      <c r="AM152">
        <f t="shared" ref="AM152:AM215" si="10">COUNTIF($AM9:$AS9,"&gt;=85%")</f>
        <v>4</v>
      </c>
      <c r="AN152">
        <f t="shared" ref="AN152:AN215" si="11">COUNTIF($AU9:$BA9,"&gt;=85%")</f>
        <v>2</v>
      </c>
      <c r="AO152">
        <f t="shared" ref="AO152:AO215" si="12">COUNTIF($BC9:$BI9,"&gt;=85%")</f>
        <v>0</v>
      </c>
      <c r="AP152">
        <f t="shared" ref="AP152:AP215" si="13">COUNTIF($BK9:$BQ9,"&gt;=85%")</f>
        <v>1</v>
      </c>
      <c r="AQ152">
        <f t="shared" ref="AQ152:AQ215" si="14">COUNTIF($BS9:$BY9,"&gt;=85%")</f>
        <v>0</v>
      </c>
      <c r="AR152">
        <f t="shared" ref="AR152:AR215" si="15">COUNTIF($CA9:$CG9,"&gt;=85%")</f>
        <v>0</v>
      </c>
      <c r="AS152">
        <f t="shared" ref="AS152:AS215" si="16">COUNTIF($CI9:$CO9,"&gt;=85%")</f>
        <v>0</v>
      </c>
      <c r="AT152">
        <f t="shared" ref="AT152:AT215" si="17">COUNTIF($CQ9:$CW9,"&gt;=85%")</f>
        <v>1</v>
      </c>
      <c r="AU152">
        <f t="shared" ref="AU152:AU215" si="18">COUNTIF($CY9:$DE9,"&gt;=92%")</f>
        <v>0</v>
      </c>
      <c r="AV152">
        <f t="shared" ref="AV152:AV215" si="19">COUNTIF($DG9:$DM9,"&gt;=85%")</f>
        <v>0</v>
      </c>
      <c r="AW152">
        <f t="shared" ref="AW152:AW215" si="20">COUNTIF($DO9:$DU9,"&gt;=85%")</f>
        <v>1</v>
      </c>
      <c r="AX152">
        <f t="shared" ref="AX152:AX215" si="21">COUNTIF($DW9:$EC9,"&gt;=85%")</f>
        <v>1</v>
      </c>
      <c r="AY152">
        <f t="shared" ref="AY152:AY215" si="22">COUNTIF($EE9:$EK9,"&gt;=85%")</f>
        <v>0</v>
      </c>
    </row>
    <row r="153" spans="38:56" x14ac:dyDescent="0.35">
      <c r="AL153" s="19" t="s">
        <v>65</v>
      </c>
      <c r="AM153">
        <f t="shared" si="10"/>
        <v>7</v>
      </c>
      <c r="AN153">
        <f t="shared" si="11"/>
        <v>6</v>
      </c>
      <c r="AO153">
        <f t="shared" si="12"/>
        <v>3</v>
      </c>
      <c r="AP153">
        <f t="shared" si="13"/>
        <v>6</v>
      </c>
      <c r="AQ153">
        <f t="shared" si="14"/>
        <v>7</v>
      </c>
      <c r="AR153">
        <f t="shared" si="15"/>
        <v>7</v>
      </c>
      <c r="AS153">
        <f t="shared" si="16"/>
        <v>7</v>
      </c>
      <c r="AT153">
        <f t="shared" si="17"/>
        <v>7</v>
      </c>
      <c r="AU153">
        <f t="shared" si="18"/>
        <v>7</v>
      </c>
      <c r="AV153">
        <f t="shared" si="19"/>
        <v>7</v>
      </c>
      <c r="AW153">
        <f t="shared" si="20"/>
        <v>7</v>
      </c>
      <c r="AX153">
        <f t="shared" si="21"/>
        <v>7</v>
      </c>
      <c r="AY153">
        <f t="shared" si="22"/>
        <v>7</v>
      </c>
    </row>
    <row r="154" spans="38:56" x14ac:dyDescent="0.35">
      <c r="AL154" s="19" t="s">
        <v>66</v>
      </c>
      <c r="AM154">
        <f t="shared" si="10"/>
        <v>7</v>
      </c>
      <c r="AN154">
        <f t="shared" si="11"/>
        <v>7</v>
      </c>
      <c r="AO154">
        <f t="shared" si="12"/>
        <v>7</v>
      </c>
      <c r="AP154">
        <f t="shared" si="13"/>
        <v>5</v>
      </c>
      <c r="AQ154">
        <f t="shared" si="14"/>
        <v>6</v>
      </c>
      <c r="AR154">
        <f t="shared" si="15"/>
        <v>7</v>
      </c>
      <c r="AS154">
        <f t="shared" si="16"/>
        <v>7</v>
      </c>
      <c r="AT154">
        <f t="shared" si="17"/>
        <v>7</v>
      </c>
      <c r="AU154">
        <f t="shared" si="18"/>
        <v>1</v>
      </c>
      <c r="AV154">
        <f t="shared" si="19"/>
        <v>7</v>
      </c>
      <c r="AW154">
        <f t="shared" si="20"/>
        <v>7</v>
      </c>
      <c r="AX154">
        <f t="shared" si="21"/>
        <v>7</v>
      </c>
      <c r="AY154">
        <f t="shared" si="22"/>
        <v>7</v>
      </c>
      <c r="BD154" s="45">
        <f>123/132</f>
        <v>0.93181818181818177</v>
      </c>
    </row>
    <row r="155" spans="38:56" x14ac:dyDescent="0.35">
      <c r="AL155" s="19" t="s">
        <v>67</v>
      </c>
      <c r="AM155">
        <f t="shared" si="10"/>
        <v>7</v>
      </c>
      <c r="AN155">
        <f t="shared" si="11"/>
        <v>7</v>
      </c>
      <c r="AO155">
        <f t="shared" si="12"/>
        <v>4</v>
      </c>
      <c r="AP155">
        <f t="shared" si="13"/>
        <v>5</v>
      </c>
      <c r="AQ155">
        <f t="shared" si="14"/>
        <v>6</v>
      </c>
      <c r="AR155">
        <f t="shared" si="15"/>
        <v>7</v>
      </c>
      <c r="AS155">
        <f t="shared" si="16"/>
        <v>7</v>
      </c>
      <c r="AT155">
        <f t="shared" si="17"/>
        <v>7</v>
      </c>
      <c r="AU155">
        <f t="shared" si="18"/>
        <v>5</v>
      </c>
      <c r="AV155">
        <f t="shared" si="19"/>
        <v>7</v>
      </c>
      <c r="AW155">
        <f t="shared" si="20"/>
        <v>7</v>
      </c>
      <c r="AX155">
        <f t="shared" si="21"/>
        <v>7</v>
      </c>
      <c r="AY155">
        <f t="shared" si="22"/>
        <v>7</v>
      </c>
    </row>
    <row r="156" spans="38:56" x14ac:dyDescent="0.35">
      <c r="AL156" s="19" t="s">
        <v>68</v>
      </c>
      <c r="AM156">
        <f t="shared" si="10"/>
        <v>7</v>
      </c>
      <c r="AN156">
        <f t="shared" si="11"/>
        <v>7</v>
      </c>
      <c r="AO156">
        <f t="shared" si="12"/>
        <v>7</v>
      </c>
      <c r="AP156">
        <f t="shared" si="13"/>
        <v>4</v>
      </c>
      <c r="AQ156">
        <f t="shared" si="14"/>
        <v>3</v>
      </c>
      <c r="AR156">
        <f t="shared" si="15"/>
        <v>7</v>
      </c>
      <c r="AS156">
        <f t="shared" si="16"/>
        <v>7</v>
      </c>
      <c r="AT156">
        <f t="shared" si="17"/>
        <v>7</v>
      </c>
      <c r="AU156">
        <f t="shared" si="18"/>
        <v>0</v>
      </c>
      <c r="AV156">
        <f t="shared" si="19"/>
        <v>7</v>
      </c>
      <c r="AW156">
        <f t="shared" si="20"/>
        <v>7</v>
      </c>
      <c r="AX156">
        <f t="shared" si="21"/>
        <v>7</v>
      </c>
      <c r="AY156">
        <f t="shared" si="22"/>
        <v>7</v>
      </c>
    </row>
    <row r="157" spans="38:56" x14ac:dyDescent="0.35">
      <c r="AL157" s="19" t="s">
        <v>286</v>
      </c>
      <c r="AM157">
        <f t="shared" si="10"/>
        <v>7</v>
      </c>
      <c r="AN157">
        <f t="shared" si="11"/>
        <v>7</v>
      </c>
      <c r="AO157">
        <f t="shared" si="12"/>
        <v>7</v>
      </c>
      <c r="AP157">
        <f t="shared" si="13"/>
        <v>6</v>
      </c>
      <c r="AQ157">
        <f t="shared" si="14"/>
        <v>6</v>
      </c>
      <c r="AR157">
        <f t="shared" si="15"/>
        <v>7</v>
      </c>
      <c r="AS157">
        <f t="shared" si="16"/>
        <v>7</v>
      </c>
      <c r="AT157">
        <f t="shared" si="17"/>
        <v>7</v>
      </c>
      <c r="AU157">
        <f t="shared" si="18"/>
        <v>7</v>
      </c>
      <c r="AV157">
        <f t="shared" si="19"/>
        <v>7</v>
      </c>
      <c r="AW157">
        <f t="shared" si="20"/>
        <v>7</v>
      </c>
      <c r="AX157">
        <f t="shared" si="21"/>
        <v>7</v>
      </c>
      <c r="AY157">
        <f t="shared" si="22"/>
        <v>7</v>
      </c>
    </row>
    <row r="158" spans="38:56" x14ac:dyDescent="0.35">
      <c r="AL158" s="19" t="s">
        <v>69</v>
      </c>
      <c r="AM158">
        <f t="shared" si="10"/>
        <v>5</v>
      </c>
      <c r="AN158">
        <f>COUNTIF($AU15:$BA15,"&gt;=85%")</f>
        <v>4</v>
      </c>
      <c r="AO158">
        <f t="shared" si="12"/>
        <v>3</v>
      </c>
      <c r="AP158">
        <f t="shared" si="13"/>
        <v>2</v>
      </c>
      <c r="AQ158">
        <f t="shared" si="14"/>
        <v>0</v>
      </c>
      <c r="AR158">
        <f t="shared" si="15"/>
        <v>3</v>
      </c>
      <c r="AS158">
        <f t="shared" si="16"/>
        <v>1</v>
      </c>
      <c r="AT158">
        <f t="shared" si="17"/>
        <v>4</v>
      </c>
      <c r="AU158">
        <f t="shared" si="18"/>
        <v>1</v>
      </c>
      <c r="AV158">
        <f t="shared" si="19"/>
        <v>4</v>
      </c>
      <c r="AW158">
        <f t="shared" si="20"/>
        <v>3</v>
      </c>
      <c r="AX158">
        <f t="shared" si="21"/>
        <v>5</v>
      </c>
      <c r="AY158">
        <f t="shared" si="22"/>
        <v>4</v>
      </c>
    </row>
    <row r="159" spans="38:56" x14ac:dyDescent="0.35">
      <c r="AL159" s="19" t="s">
        <v>70</v>
      </c>
      <c r="AM159">
        <f t="shared" si="10"/>
        <v>7</v>
      </c>
      <c r="AN159">
        <f t="shared" si="11"/>
        <v>7</v>
      </c>
      <c r="AO159">
        <f t="shared" si="12"/>
        <v>7</v>
      </c>
      <c r="AP159">
        <f t="shared" si="13"/>
        <v>4</v>
      </c>
      <c r="AQ159">
        <f t="shared" si="14"/>
        <v>6</v>
      </c>
      <c r="AR159">
        <f t="shared" si="15"/>
        <v>7</v>
      </c>
      <c r="AS159">
        <f t="shared" si="16"/>
        <v>7</v>
      </c>
      <c r="AT159">
        <f t="shared" si="17"/>
        <v>7</v>
      </c>
      <c r="AU159">
        <f t="shared" si="18"/>
        <v>3</v>
      </c>
      <c r="AV159">
        <f t="shared" si="19"/>
        <v>7</v>
      </c>
      <c r="AW159">
        <f t="shared" si="20"/>
        <v>7</v>
      </c>
      <c r="AX159">
        <f t="shared" si="21"/>
        <v>7</v>
      </c>
      <c r="AY159">
        <f t="shared" si="22"/>
        <v>7</v>
      </c>
    </row>
    <row r="160" spans="38:56" x14ac:dyDescent="0.35">
      <c r="AL160" s="19" t="s">
        <v>71</v>
      </c>
      <c r="AM160">
        <f t="shared" si="10"/>
        <v>7</v>
      </c>
      <c r="AN160">
        <f t="shared" si="11"/>
        <v>7</v>
      </c>
      <c r="AO160">
        <f t="shared" si="12"/>
        <v>6</v>
      </c>
      <c r="AP160">
        <f t="shared" si="13"/>
        <v>6</v>
      </c>
      <c r="AQ160">
        <f t="shared" si="14"/>
        <v>4</v>
      </c>
      <c r="AR160">
        <f t="shared" si="15"/>
        <v>7</v>
      </c>
      <c r="AS160">
        <f t="shared" si="16"/>
        <v>7</v>
      </c>
      <c r="AT160">
        <f t="shared" si="17"/>
        <v>7</v>
      </c>
      <c r="AU160">
        <f t="shared" si="18"/>
        <v>1</v>
      </c>
      <c r="AV160">
        <f t="shared" si="19"/>
        <v>7</v>
      </c>
      <c r="AW160">
        <f t="shared" si="20"/>
        <v>7</v>
      </c>
      <c r="AX160">
        <f t="shared" si="21"/>
        <v>6</v>
      </c>
      <c r="AY160">
        <f t="shared" si="22"/>
        <v>5</v>
      </c>
    </row>
    <row r="161" spans="38:51" x14ac:dyDescent="0.35">
      <c r="AL161" s="19" t="s">
        <v>72</v>
      </c>
      <c r="AM161">
        <f t="shared" si="10"/>
        <v>7</v>
      </c>
      <c r="AN161">
        <f t="shared" si="11"/>
        <v>7</v>
      </c>
      <c r="AO161">
        <f t="shared" si="12"/>
        <v>7</v>
      </c>
      <c r="AP161">
        <f t="shared" si="13"/>
        <v>5</v>
      </c>
      <c r="AQ161">
        <f t="shared" si="14"/>
        <v>5</v>
      </c>
      <c r="AR161">
        <f t="shared" si="15"/>
        <v>7</v>
      </c>
      <c r="AS161">
        <f t="shared" si="16"/>
        <v>7</v>
      </c>
      <c r="AT161">
        <f t="shared" si="17"/>
        <v>7</v>
      </c>
      <c r="AU161">
        <f t="shared" si="18"/>
        <v>7</v>
      </c>
      <c r="AV161">
        <f t="shared" si="19"/>
        <v>7</v>
      </c>
      <c r="AW161">
        <f t="shared" si="20"/>
        <v>7</v>
      </c>
      <c r="AX161">
        <f t="shared" si="21"/>
        <v>6</v>
      </c>
      <c r="AY161">
        <f t="shared" si="22"/>
        <v>7</v>
      </c>
    </row>
    <row r="162" spans="38:51" x14ac:dyDescent="0.35">
      <c r="AL162" s="19" t="s">
        <v>73</v>
      </c>
      <c r="AM162">
        <f t="shared" si="10"/>
        <v>7</v>
      </c>
      <c r="AN162">
        <f t="shared" si="11"/>
        <v>7</v>
      </c>
      <c r="AO162">
        <f t="shared" si="12"/>
        <v>7</v>
      </c>
      <c r="AP162">
        <f t="shared" si="13"/>
        <v>5</v>
      </c>
      <c r="AQ162">
        <f t="shared" si="14"/>
        <v>3</v>
      </c>
      <c r="AR162">
        <f t="shared" si="15"/>
        <v>6</v>
      </c>
      <c r="AS162">
        <f t="shared" si="16"/>
        <v>7</v>
      </c>
      <c r="AT162">
        <f t="shared" si="17"/>
        <v>7</v>
      </c>
      <c r="AU162">
        <f t="shared" si="18"/>
        <v>6</v>
      </c>
      <c r="AV162">
        <f t="shared" si="19"/>
        <v>7</v>
      </c>
      <c r="AW162">
        <f t="shared" si="20"/>
        <v>7</v>
      </c>
      <c r="AX162">
        <f t="shared" si="21"/>
        <v>7</v>
      </c>
      <c r="AY162">
        <f t="shared" si="22"/>
        <v>7</v>
      </c>
    </row>
    <row r="163" spans="38:51" x14ac:dyDescent="0.35">
      <c r="AL163" s="19" t="s">
        <v>74</v>
      </c>
      <c r="AM163">
        <f t="shared" si="10"/>
        <v>7</v>
      </c>
      <c r="AN163">
        <f t="shared" si="11"/>
        <v>7</v>
      </c>
      <c r="AO163">
        <f t="shared" si="12"/>
        <v>7</v>
      </c>
      <c r="AP163">
        <f t="shared" si="13"/>
        <v>7</v>
      </c>
      <c r="AQ163">
        <f t="shared" si="14"/>
        <v>7</v>
      </c>
      <c r="AR163">
        <f t="shared" si="15"/>
        <v>7</v>
      </c>
      <c r="AS163">
        <f t="shared" si="16"/>
        <v>7</v>
      </c>
      <c r="AT163">
        <f t="shared" si="17"/>
        <v>7</v>
      </c>
      <c r="AU163">
        <f t="shared" si="18"/>
        <v>6</v>
      </c>
      <c r="AV163">
        <f t="shared" si="19"/>
        <v>7</v>
      </c>
      <c r="AW163">
        <f t="shared" si="20"/>
        <v>7</v>
      </c>
      <c r="AX163">
        <f t="shared" si="21"/>
        <v>7</v>
      </c>
      <c r="AY163">
        <f t="shared" si="22"/>
        <v>7</v>
      </c>
    </row>
    <row r="164" spans="38:51" x14ac:dyDescent="0.35">
      <c r="AL164" s="19" t="s">
        <v>75</v>
      </c>
      <c r="AM164">
        <f t="shared" si="10"/>
        <v>7</v>
      </c>
      <c r="AN164">
        <f t="shared" si="11"/>
        <v>7</v>
      </c>
      <c r="AO164">
        <f t="shared" si="12"/>
        <v>7</v>
      </c>
      <c r="AP164">
        <f t="shared" si="13"/>
        <v>5</v>
      </c>
      <c r="AQ164">
        <f t="shared" si="14"/>
        <v>6</v>
      </c>
      <c r="AR164">
        <f t="shared" si="15"/>
        <v>7</v>
      </c>
      <c r="AS164">
        <f t="shared" si="16"/>
        <v>7</v>
      </c>
      <c r="AT164">
        <f t="shared" si="17"/>
        <v>7</v>
      </c>
      <c r="AU164">
        <f t="shared" si="18"/>
        <v>5</v>
      </c>
      <c r="AV164">
        <f t="shared" si="19"/>
        <v>7</v>
      </c>
      <c r="AW164">
        <f t="shared" si="20"/>
        <v>7</v>
      </c>
      <c r="AX164">
        <f t="shared" si="21"/>
        <v>7</v>
      </c>
      <c r="AY164">
        <f t="shared" si="22"/>
        <v>7</v>
      </c>
    </row>
    <row r="165" spans="38:51" x14ac:dyDescent="0.35">
      <c r="AL165" s="19" t="s">
        <v>76</v>
      </c>
      <c r="AM165">
        <f t="shared" si="10"/>
        <v>7</v>
      </c>
      <c r="AN165">
        <f t="shared" si="11"/>
        <v>7</v>
      </c>
      <c r="AO165">
        <f t="shared" si="12"/>
        <v>7</v>
      </c>
      <c r="AP165">
        <f t="shared" si="13"/>
        <v>5</v>
      </c>
      <c r="AQ165">
        <f t="shared" si="14"/>
        <v>7</v>
      </c>
      <c r="AR165">
        <f t="shared" si="15"/>
        <v>7</v>
      </c>
      <c r="AS165">
        <f t="shared" si="16"/>
        <v>7</v>
      </c>
      <c r="AT165">
        <f t="shared" si="17"/>
        <v>7</v>
      </c>
      <c r="AU165">
        <f t="shared" si="18"/>
        <v>7</v>
      </c>
      <c r="AV165">
        <f t="shared" si="19"/>
        <v>7</v>
      </c>
      <c r="AW165">
        <f t="shared" si="20"/>
        <v>7</v>
      </c>
      <c r="AX165">
        <f t="shared" si="21"/>
        <v>7</v>
      </c>
      <c r="AY165">
        <f t="shared" si="22"/>
        <v>7</v>
      </c>
    </row>
    <row r="166" spans="38:51" x14ac:dyDescent="0.35">
      <c r="AL166" s="19" t="s">
        <v>77</v>
      </c>
      <c r="AM166">
        <f t="shared" si="10"/>
        <v>7</v>
      </c>
      <c r="AN166">
        <f t="shared" si="11"/>
        <v>7</v>
      </c>
      <c r="AO166">
        <f t="shared" si="12"/>
        <v>6</v>
      </c>
      <c r="AP166">
        <f t="shared" si="13"/>
        <v>4</v>
      </c>
      <c r="AQ166">
        <f t="shared" si="14"/>
        <v>7</v>
      </c>
      <c r="AR166">
        <f t="shared" si="15"/>
        <v>7</v>
      </c>
      <c r="AS166">
        <f t="shared" si="16"/>
        <v>7</v>
      </c>
      <c r="AT166">
        <f t="shared" si="17"/>
        <v>7</v>
      </c>
      <c r="AU166">
        <f t="shared" si="18"/>
        <v>4</v>
      </c>
      <c r="AV166">
        <f t="shared" si="19"/>
        <v>7</v>
      </c>
      <c r="AW166">
        <f t="shared" si="20"/>
        <v>7</v>
      </c>
      <c r="AX166">
        <f t="shared" si="21"/>
        <v>7</v>
      </c>
      <c r="AY166">
        <f t="shared" si="22"/>
        <v>7</v>
      </c>
    </row>
    <row r="167" spans="38:51" x14ac:dyDescent="0.35">
      <c r="AL167" s="19" t="s">
        <v>78</v>
      </c>
      <c r="AM167">
        <f t="shared" si="10"/>
        <v>7</v>
      </c>
      <c r="AN167">
        <f t="shared" si="11"/>
        <v>7</v>
      </c>
      <c r="AO167">
        <f t="shared" si="12"/>
        <v>7</v>
      </c>
      <c r="AP167">
        <f t="shared" si="13"/>
        <v>6</v>
      </c>
      <c r="AQ167">
        <f t="shared" si="14"/>
        <v>7</v>
      </c>
      <c r="AR167">
        <f t="shared" si="15"/>
        <v>7</v>
      </c>
      <c r="AS167">
        <f t="shared" si="16"/>
        <v>7</v>
      </c>
      <c r="AT167">
        <f t="shared" si="17"/>
        <v>7</v>
      </c>
      <c r="AU167">
        <f t="shared" si="18"/>
        <v>6</v>
      </c>
      <c r="AV167">
        <f t="shared" si="19"/>
        <v>7</v>
      </c>
      <c r="AW167">
        <f t="shared" si="20"/>
        <v>7</v>
      </c>
      <c r="AX167">
        <f t="shared" si="21"/>
        <v>7</v>
      </c>
      <c r="AY167">
        <f t="shared" si="22"/>
        <v>7</v>
      </c>
    </row>
    <row r="168" spans="38:51" x14ac:dyDescent="0.35">
      <c r="AL168" s="19" t="s">
        <v>79</v>
      </c>
      <c r="AM168">
        <f t="shared" si="10"/>
        <v>6</v>
      </c>
      <c r="AN168">
        <f t="shared" si="11"/>
        <v>7</v>
      </c>
      <c r="AO168">
        <f t="shared" si="12"/>
        <v>5</v>
      </c>
      <c r="AP168">
        <f t="shared" si="13"/>
        <v>1</v>
      </c>
      <c r="AQ168">
        <f t="shared" si="14"/>
        <v>1</v>
      </c>
      <c r="AR168">
        <f t="shared" si="15"/>
        <v>4</v>
      </c>
      <c r="AS168">
        <f t="shared" si="16"/>
        <v>4</v>
      </c>
      <c r="AT168">
        <f t="shared" si="17"/>
        <v>3</v>
      </c>
      <c r="AU168">
        <f t="shared" si="18"/>
        <v>0</v>
      </c>
      <c r="AV168">
        <f t="shared" si="19"/>
        <v>5</v>
      </c>
      <c r="AW168">
        <f t="shared" si="20"/>
        <v>3</v>
      </c>
      <c r="AX168">
        <f t="shared" si="21"/>
        <v>5</v>
      </c>
      <c r="AY168">
        <f t="shared" si="22"/>
        <v>6</v>
      </c>
    </row>
    <row r="169" spans="38:51" x14ac:dyDescent="0.35">
      <c r="AL169" s="19" t="s">
        <v>80</v>
      </c>
      <c r="AM169">
        <f t="shared" si="10"/>
        <v>7</v>
      </c>
      <c r="AN169">
        <f t="shared" si="11"/>
        <v>7</v>
      </c>
      <c r="AO169">
        <f t="shared" si="12"/>
        <v>7</v>
      </c>
      <c r="AP169">
        <f t="shared" si="13"/>
        <v>7</v>
      </c>
      <c r="AQ169">
        <f t="shared" si="14"/>
        <v>7</v>
      </c>
      <c r="AR169">
        <f t="shared" si="15"/>
        <v>7</v>
      </c>
      <c r="AS169">
        <f t="shared" si="16"/>
        <v>7</v>
      </c>
      <c r="AT169">
        <f t="shared" si="17"/>
        <v>7</v>
      </c>
      <c r="AU169">
        <f t="shared" si="18"/>
        <v>7</v>
      </c>
      <c r="AV169">
        <f t="shared" si="19"/>
        <v>7</v>
      </c>
      <c r="AW169">
        <f t="shared" si="20"/>
        <v>7</v>
      </c>
      <c r="AX169">
        <f t="shared" si="21"/>
        <v>7</v>
      </c>
      <c r="AY169">
        <f t="shared" si="22"/>
        <v>7</v>
      </c>
    </row>
    <row r="170" spans="38:51" x14ac:dyDescent="0.35">
      <c r="AL170" s="19" t="s">
        <v>81</v>
      </c>
      <c r="AM170">
        <f t="shared" si="10"/>
        <v>7</v>
      </c>
      <c r="AN170">
        <f t="shared" si="11"/>
        <v>7</v>
      </c>
      <c r="AO170">
        <f t="shared" si="12"/>
        <v>7</v>
      </c>
      <c r="AP170">
        <f t="shared" si="13"/>
        <v>5</v>
      </c>
      <c r="AQ170">
        <f t="shared" si="14"/>
        <v>7</v>
      </c>
      <c r="AR170">
        <f t="shared" si="15"/>
        <v>7</v>
      </c>
      <c r="AS170">
        <f t="shared" si="16"/>
        <v>7</v>
      </c>
      <c r="AT170">
        <f t="shared" si="17"/>
        <v>7</v>
      </c>
      <c r="AU170">
        <f t="shared" si="18"/>
        <v>6</v>
      </c>
      <c r="AV170">
        <f t="shared" si="19"/>
        <v>7</v>
      </c>
      <c r="AW170">
        <f t="shared" si="20"/>
        <v>7</v>
      </c>
      <c r="AX170">
        <f t="shared" si="21"/>
        <v>7</v>
      </c>
      <c r="AY170">
        <f t="shared" si="22"/>
        <v>7</v>
      </c>
    </row>
    <row r="171" spans="38:51" x14ac:dyDescent="0.35">
      <c r="AL171" s="19" t="s">
        <v>82</v>
      </c>
      <c r="AM171">
        <f t="shared" si="10"/>
        <v>7</v>
      </c>
      <c r="AN171">
        <f t="shared" si="11"/>
        <v>7</v>
      </c>
      <c r="AO171">
        <f t="shared" si="12"/>
        <v>7</v>
      </c>
      <c r="AP171">
        <f t="shared" si="13"/>
        <v>4</v>
      </c>
      <c r="AQ171">
        <f t="shared" si="14"/>
        <v>6</v>
      </c>
      <c r="AR171">
        <f t="shared" si="15"/>
        <v>7</v>
      </c>
      <c r="AS171">
        <f t="shared" si="16"/>
        <v>7</v>
      </c>
      <c r="AT171">
        <f t="shared" si="17"/>
        <v>7</v>
      </c>
      <c r="AU171">
        <f t="shared" si="18"/>
        <v>6</v>
      </c>
      <c r="AV171">
        <f t="shared" si="19"/>
        <v>7</v>
      </c>
      <c r="AW171">
        <f t="shared" si="20"/>
        <v>7</v>
      </c>
      <c r="AX171">
        <f t="shared" si="21"/>
        <v>7</v>
      </c>
      <c r="AY171">
        <f t="shared" si="22"/>
        <v>7</v>
      </c>
    </row>
    <row r="172" spans="38:51" x14ac:dyDescent="0.35">
      <c r="AL172" s="19" t="s">
        <v>83</v>
      </c>
      <c r="AM172">
        <f t="shared" si="10"/>
        <v>7</v>
      </c>
      <c r="AN172">
        <f t="shared" si="11"/>
        <v>7</v>
      </c>
      <c r="AO172">
        <f t="shared" si="12"/>
        <v>7</v>
      </c>
      <c r="AP172">
        <f t="shared" si="13"/>
        <v>5</v>
      </c>
      <c r="AQ172">
        <f t="shared" si="14"/>
        <v>7</v>
      </c>
      <c r="AR172">
        <f t="shared" si="15"/>
        <v>7</v>
      </c>
      <c r="AS172">
        <f t="shared" si="16"/>
        <v>7</v>
      </c>
      <c r="AT172">
        <f t="shared" si="17"/>
        <v>7</v>
      </c>
      <c r="AU172">
        <f t="shared" si="18"/>
        <v>7</v>
      </c>
      <c r="AV172">
        <f t="shared" si="19"/>
        <v>7</v>
      </c>
      <c r="AW172">
        <f t="shared" si="20"/>
        <v>7</v>
      </c>
      <c r="AX172">
        <f t="shared" si="21"/>
        <v>7</v>
      </c>
      <c r="AY172">
        <f t="shared" si="22"/>
        <v>7</v>
      </c>
    </row>
    <row r="173" spans="38:51" x14ac:dyDescent="0.35">
      <c r="AL173" s="19" t="s">
        <v>84</v>
      </c>
      <c r="AM173">
        <f t="shared" si="10"/>
        <v>7</v>
      </c>
      <c r="AN173">
        <f t="shared" si="11"/>
        <v>7</v>
      </c>
      <c r="AO173">
        <f t="shared" si="12"/>
        <v>7</v>
      </c>
      <c r="AP173">
        <f t="shared" si="13"/>
        <v>5</v>
      </c>
      <c r="AQ173">
        <f t="shared" si="14"/>
        <v>5</v>
      </c>
      <c r="AR173">
        <f t="shared" si="15"/>
        <v>7</v>
      </c>
      <c r="AS173">
        <f t="shared" si="16"/>
        <v>7</v>
      </c>
      <c r="AT173">
        <f t="shared" si="17"/>
        <v>7</v>
      </c>
      <c r="AU173">
        <f t="shared" si="18"/>
        <v>7</v>
      </c>
      <c r="AV173">
        <f t="shared" si="19"/>
        <v>7</v>
      </c>
      <c r="AW173">
        <f t="shared" si="20"/>
        <v>7</v>
      </c>
      <c r="AX173">
        <f t="shared" si="21"/>
        <v>7</v>
      </c>
      <c r="AY173">
        <f t="shared" si="22"/>
        <v>7</v>
      </c>
    </row>
    <row r="174" spans="38:51" x14ac:dyDescent="0.35">
      <c r="AL174" s="19" t="s">
        <v>85</v>
      </c>
      <c r="AM174">
        <f t="shared" si="10"/>
        <v>7</v>
      </c>
      <c r="AN174">
        <f t="shared" si="11"/>
        <v>5</v>
      </c>
      <c r="AO174">
        <f t="shared" si="12"/>
        <v>7</v>
      </c>
      <c r="AP174">
        <f t="shared" si="13"/>
        <v>5</v>
      </c>
      <c r="AQ174">
        <f t="shared" si="14"/>
        <v>5</v>
      </c>
      <c r="AR174">
        <f t="shared" si="15"/>
        <v>7</v>
      </c>
      <c r="AS174">
        <f t="shared" si="16"/>
        <v>7</v>
      </c>
      <c r="AT174">
        <f t="shared" si="17"/>
        <v>6</v>
      </c>
      <c r="AU174">
        <f t="shared" si="18"/>
        <v>7</v>
      </c>
      <c r="AV174">
        <f t="shared" si="19"/>
        <v>7</v>
      </c>
      <c r="AW174">
        <f t="shared" si="20"/>
        <v>7</v>
      </c>
      <c r="AX174">
        <f t="shared" si="21"/>
        <v>7</v>
      </c>
      <c r="AY174">
        <f t="shared" si="22"/>
        <v>7</v>
      </c>
    </row>
    <row r="175" spans="38:51" x14ac:dyDescent="0.35">
      <c r="AL175" s="19" t="s">
        <v>86</v>
      </c>
      <c r="AM175">
        <f t="shared" si="10"/>
        <v>7</v>
      </c>
      <c r="AN175">
        <f t="shared" si="11"/>
        <v>7</v>
      </c>
      <c r="AO175">
        <f t="shared" si="12"/>
        <v>7</v>
      </c>
      <c r="AP175">
        <f t="shared" si="13"/>
        <v>4</v>
      </c>
      <c r="AQ175">
        <f t="shared" si="14"/>
        <v>2</v>
      </c>
      <c r="AR175">
        <f t="shared" si="15"/>
        <v>7</v>
      </c>
      <c r="AS175">
        <f t="shared" si="16"/>
        <v>7</v>
      </c>
      <c r="AT175">
        <f t="shared" si="17"/>
        <v>7</v>
      </c>
      <c r="AU175">
        <f t="shared" si="18"/>
        <v>0</v>
      </c>
      <c r="AV175">
        <f t="shared" si="19"/>
        <v>7</v>
      </c>
      <c r="AW175">
        <f t="shared" si="20"/>
        <v>6</v>
      </c>
      <c r="AX175">
        <f t="shared" si="21"/>
        <v>7</v>
      </c>
      <c r="AY175">
        <f t="shared" si="22"/>
        <v>7</v>
      </c>
    </row>
    <row r="176" spans="38:51" x14ac:dyDescent="0.35">
      <c r="AL176" s="19" t="s">
        <v>87</v>
      </c>
      <c r="AM176">
        <f t="shared" si="10"/>
        <v>7</v>
      </c>
      <c r="AN176">
        <f t="shared" si="11"/>
        <v>7</v>
      </c>
      <c r="AO176">
        <f t="shared" si="12"/>
        <v>6</v>
      </c>
      <c r="AP176">
        <f t="shared" si="13"/>
        <v>4</v>
      </c>
      <c r="AQ176">
        <f t="shared" si="14"/>
        <v>4</v>
      </c>
      <c r="AR176">
        <f t="shared" si="15"/>
        <v>7</v>
      </c>
      <c r="AS176">
        <f t="shared" si="16"/>
        <v>7</v>
      </c>
      <c r="AT176">
        <f t="shared" si="17"/>
        <v>7</v>
      </c>
      <c r="AU176">
        <f t="shared" si="18"/>
        <v>0</v>
      </c>
      <c r="AV176">
        <f t="shared" si="19"/>
        <v>7</v>
      </c>
      <c r="AW176">
        <f t="shared" si="20"/>
        <v>7</v>
      </c>
      <c r="AX176">
        <f t="shared" si="21"/>
        <v>7</v>
      </c>
      <c r="AY176">
        <f t="shared" si="22"/>
        <v>7</v>
      </c>
    </row>
    <row r="177" spans="38:51" x14ac:dyDescent="0.35">
      <c r="AL177" s="19" t="s">
        <v>254</v>
      </c>
      <c r="AM177">
        <f t="shared" si="10"/>
        <v>7</v>
      </c>
      <c r="AN177">
        <f t="shared" si="11"/>
        <v>7</v>
      </c>
      <c r="AO177">
        <f t="shared" si="12"/>
        <v>7</v>
      </c>
      <c r="AP177">
        <f t="shared" si="13"/>
        <v>2</v>
      </c>
      <c r="AQ177">
        <f t="shared" si="14"/>
        <v>6</v>
      </c>
      <c r="AR177">
        <f t="shared" si="15"/>
        <v>7</v>
      </c>
      <c r="AS177">
        <f t="shared" si="16"/>
        <v>7</v>
      </c>
      <c r="AT177">
        <f t="shared" si="17"/>
        <v>7</v>
      </c>
      <c r="AU177">
        <f t="shared" si="18"/>
        <v>2</v>
      </c>
      <c r="AV177">
        <f t="shared" si="19"/>
        <v>7</v>
      </c>
      <c r="AW177">
        <f t="shared" si="20"/>
        <v>7</v>
      </c>
      <c r="AX177">
        <f t="shared" si="21"/>
        <v>7</v>
      </c>
      <c r="AY177">
        <f t="shared" si="22"/>
        <v>7</v>
      </c>
    </row>
    <row r="178" spans="38:51" x14ac:dyDescent="0.35">
      <c r="AL178" s="19" t="s">
        <v>88</v>
      </c>
      <c r="AM178">
        <f t="shared" si="10"/>
        <v>7</v>
      </c>
      <c r="AN178">
        <f t="shared" si="11"/>
        <v>7</v>
      </c>
      <c r="AO178">
        <f t="shared" si="12"/>
        <v>7</v>
      </c>
      <c r="AP178">
        <f t="shared" si="13"/>
        <v>4</v>
      </c>
      <c r="AQ178">
        <f t="shared" si="14"/>
        <v>7</v>
      </c>
      <c r="AR178">
        <f t="shared" si="15"/>
        <v>7</v>
      </c>
      <c r="AS178">
        <f t="shared" si="16"/>
        <v>7</v>
      </c>
      <c r="AT178">
        <f t="shared" si="17"/>
        <v>7</v>
      </c>
      <c r="AU178">
        <f t="shared" si="18"/>
        <v>6</v>
      </c>
      <c r="AV178">
        <f t="shared" si="19"/>
        <v>7</v>
      </c>
      <c r="AW178">
        <f t="shared" si="20"/>
        <v>7</v>
      </c>
      <c r="AX178">
        <f t="shared" si="21"/>
        <v>7</v>
      </c>
      <c r="AY178">
        <f t="shared" si="22"/>
        <v>7</v>
      </c>
    </row>
    <row r="179" spans="38:51" x14ac:dyDescent="0.35">
      <c r="AL179" s="19" t="s">
        <v>89</v>
      </c>
      <c r="AM179">
        <f t="shared" si="10"/>
        <v>7</v>
      </c>
      <c r="AN179">
        <f t="shared" si="11"/>
        <v>7</v>
      </c>
      <c r="AO179">
        <f t="shared" si="12"/>
        <v>3</v>
      </c>
      <c r="AP179">
        <f t="shared" si="13"/>
        <v>0</v>
      </c>
      <c r="AQ179">
        <f t="shared" si="14"/>
        <v>3</v>
      </c>
      <c r="AR179">
        <f t="shared" si="15"/>
        <v>7</v>
      </c>
      <c r="AS179">
        <f t="shared" si="16"/>
        <v>6</v>
      </c>
      <c r="AT179">
        <f t="shared" si="17"/>
        <v>3</v>
      </c>
      <c r="AU179">
        <f t="shared" si="18"/>
        <v>0</v>
      </c>
      <c r="AV179">
        <f t="shared" si="19"/>
        <v>6</v>
      </c>
      <c r="AW179">
        <f t="shared" si="20"/>
        <v>7</v>
      </c>
      <c r="AX179">
        <f t="shared" si="21"/>
        <v>4</v>
      </c>
      <c r="AY179">
        <f t="shared" si="22"/>
        <v>7</v>
      </c>
    </row>
    <row r="180" spans="38:51" x14ac:dyDescent="0.35">
      <c r="AL180" s="19" t="s">
        <v>90</v>
      </c>
      <c r="AM180">
        <f t="shared" si="10"/>
        <v>7</v>
      </c>
      <c r="AN180">
        <f t="shared" si="11"/>
        <v>7</v>
      </c>
      <c r="AO180">
        <f t="shared" si="12"/>
        <v>7</v>
      </c>
      <c r="AP180">
        <f t="shared" si="13"/>
        <v>4</v>
      </c>
      <c r="AQ180">
        <f t="shared" si="14"/>
        <v>7</v>
      </c>
      <c r="AR180">
        <f t="shared" si="15"/>
        <v>7</v>
      </c>
      <c r="AS180">
        <f t="shared" si="16"/>
        <v>7</v>
      </c>
      <c r="AT180">
        <f t="shared" si="17"/>
        <v>7</v>
      </c>
      <c r="AU180">
        <f t="shared" si="18"/>
        <v>3</v>
      </c>
      <c r="AV180">
        <f t="shared" si="19"/>
        <v>7</v>
      </c>
      <c r="AW180">
        <f t="shared" si="20"/>
        <v>7</v>
      </c>
      <c r="AX180">
        <f t="shared" si="21"/>
        <v>7</v>
      </c>
      <c r="AY180">
        <f t="shared" si="22"/>
        <v>7</v>
      </c>
    </row>
    <row r="181" spans="38:51" x14ac:dyDescent="0.35">
      <c r="AL181" s="19" t="s">
        <v>91</v>
      </c>
      <c r="AM181">
        <f t="shared" si="10"/>
        <v>7</v>
      </c>
      <c r="AN181">
        <f t="shared" si="11"/>
        <v>7</v>
      </c>
      <c r="AO181">
        <f t="shared" si="12"/>
        <v>7</v>
      </c>
      <c r="AP181">
        <f t="shared" si="13"/>
        <v>5</v>
      </c>
      <c r="AQ181">
        <f t="shared" si="14"/>
        <v>6</v>
      </c>
      <c r="AR181">
        <f t="shared" si="15"/>
        <v>7</v>
      </c>
      <c r="AS181">
        <f t="shared" si="16"/>
        <v>7</v>
      </c>
      <c r="AT181">
        <f t="shared" si="17"/>
        <v>7</v>
      </c>
      <c r="AU181">
        <f t="shared" si="18"/>
        <v>4</v>
      </c>
      <c r="AV181">
        <f t="shared" si="19"/>
        <v>7</v>
      </c>
      <c r="AW181">
        <f t="shared" si="20"/>
        <v>7</v>
      </c>
      <c r="AX181">
        <f t="shared" si="21"/>
        <v>7</v>
      </c>
      <c r="AY181">
        <f t="shared" si="22"/>
        <v>7</v>
      </c>
    </row>
    <row r="182" spans="38:51" x14ac:dyDescent="0.35">
      <c r="AL182" s="19" t="s">
        <v>92</v>
      </c>
      <c r="AM182">
        <f t="shared" si="10"/>
        <v>7</v>
      </c>
      <c r="AN182">
        <f t="shared" si="11"/>
        <v>7</v>
      </c>
      <c r="AO182">
        <f t="shared" si="12"/>
        <v>7</v>
      </c>
      <c r="AP182">
        <f t="shared" si="13"/>
        <v>6</v>
      </c>
      <c r="AQ182">
        <f t="shared" si="14"/>
        <v>5</v>
      </c>
      <c r="AR182">
        <f t="shared" si="15"/>
        <v>7</v>
      </c>
      <c r="AS182">
        <f t="shared" si="16"/>
        <v>7</v>
      </c>
      <c r="AT182">
        <f t="shared" si="17"/>
        <v>7</v>
      </c>
      <c r="AU182">
        <f t="shared" si="18"/>
        <v>6</v>
      </c>
      <c r="AV182">
        <f t="shared" si="19"/>
        <v>7</v>
      </c>
      <c r="AW182">
        <f t="shared" si="20"/>
        <v>7</v>
      </c>
      <c r="AX182">
        <f t="shared" si="21"/>
        <v>7</v>
      </c>
      <c r="AY182">
        <f t="shared" si="22"/>
        <v>7</v>
      </c>
    </row>
    <row r="183" spans="38:51" x14ac:dyDescent="0.35">
      <c r="AL183" s="19" t="s">
        <v>93</v>
      </c>
      <c r="AM183">
        <f t="shared" si="10"/>
        <v>7</v>
      </c>
      <c r="AN183">
        <f t="shared" si="11"/>
        <v>7</v>
      </c>
      <c r="AO183">
        <f t="shared" si="12"/>
        <v>7</v>
      </c>
      <c r="AP183">
        <f t="shared" si="13"/>
        <v>6</v>
      </c>
      <c r="AQ183">
        <f t="shared" si="14"/>
        <v>7</v>
      </c>
      <c r="AR183">
        <f t="shared" si="15"/>
        <v>7</v>
      </c>
      <c r="AS183">
        <f t="shared" si="16"/>
        <v>7</v>
      </c>
      <c r="AT183">
        <f t="shared" si="17"/>
        <v>7</v>
      </c>
      <c r="AU183">
        <f t="shared" si="18"/>
        <v>7</v>
      </c>
      <c r="AV183">
        <f t="shared" si="19"/>
        <v>7</v>
      </c>
      <c r="AW183">
        <f t="shared" si="20"/>
        <v>7</v>
      </c>
      <c r="AX183">
        <f t="shared" si="21"/>
        <v>7</v>
      </c>
      <c r="AY183">
        <f t="shared" si="22"/>
        <v>7</v>
      </c>
    </row>
    <row r="184" spans="38:51" x14ac:dyDescent="0.35">
      <c r="AL184" s="19" t="s">
        <v>94</v>
      </c>
      <c r="AM184">
        <f t="shared" si="10"/>
        <v>7</v>
      </c>
      <c r="AN184">
        <f t="shared" si="11"/>
        <v>7</v>
      </c>
      <c r="AO184">
        <f t="shared" si="12"/>
        <v>7</v>
      </c>
      <c r="AP184">
        <f t="shared" si="13"/>
        <v>5</v>
      </c>
      <c r="AQ184">
        <f t="shared" si="14"/>
        <v>7</v>
      </c>
      <c r="AR184">
        <f t="shared" si="15"/>
        <v>7</v>
      </c>
      <c r="AS184">
        <f t="shared" si="16"/>
        <v>7</v>
      </c>
      <c r="AT184">
        <f t="shared" si="17"/>
        <v>7</v>
      </c>
      <c r="AU184">
        <f t="shared" si="18"/>
        <v>7</v>
      </c>
      <c r="AV184">
        <f t="shared" si="19"/>
        <v>7</v>
      </c>
      <c r="AW184">
        <f t="shared" si="20"/>
        <v>7</v>
      </c>
      <c r="AX184">
        <f t="shared" si="21"/>
        <v>7</v>
      </c>
      <c r="AY184">
        <f t="shared" si="22"/>
        <v>7</v>
      </c>
    </row>
    <row r="185" spans="38:51" x14ac:dyDescent="0.35">
      <c r="AL185" s="19" t="s">
        <v>95</v>
      </c>
      <c r="AM185">
        <f t="shared" si="10"/>
        <v>6</v>
      </c>
      <c r="AN185">
        <f t="shared" si="11"/>
        <v>6</v>
      </c>
      <c r="AO185">
        <f t="shared" si="12"/>
        <v>6</v>
      </c>
      <c r="AP185">
        <f t="shared" si="13"/>
        <v>3</v>
      </c>
      <c r="AQ185">
        <f t="shared" si="14"/>
        <v>0</v>
      </c>
      <c r="AR185">
        <f t="shared" si="15"/>
        <v>0</v>
      </c>
      <c r="AS185">
        <f t="shared" si="16"/>
        <v>2</v>
      </c>
      <c r="AT185">
        <f t="shared" si="17"/>
        <v>3</v>
      </c>
      <c r="AU185">
        <f t="shared" si="18"/>
        <v>0</v>
      </c>
      <c r="AV185">
        <f t="shared" si="19"/>
        <v>5</v>
      </c>
      <c r="AW185">
        <f t="shared" si="20"/>
        <v>6</v>
      </c>
      <c r="AX185">
        <f t="shared" si="21"/>
        <v>6</v>
      </c>
      <c r="AY185">
        <f t="shared" si="22"/>
        <v>6</v>
      </c>
    </row>
    <row r="186" spans="38:51" x14ac:dyDescent="0.35">
      <c r="AL186" s="19" t="s">
        <v>96</v>
      </c>
      <c r="AM186">
        <f t="shared" si="10"/>
        <v>7</v>
      </c>
      <c r="AN186">
        <f t="shared" si="11"/>
        <v>7</v>
      </c>
      <c r="AO186">
        <f t="shared" si="12"/>
        <v>6</v>
      </c>
      <c r="AP186">
        <f t="shared" si="13"/>
        <v>3</v>
      </c>
      <c r="AQ186">
        <f t="shared" si="14"/>
        <v>2</v>
      </c>
      <c r="AR186">
        <f t="shared" si="15"/>
        <v>5</v>
      </c>
      <c r="AS186">
        <f t="shared" si="16"/>
        <v>5</v>
      </c>
      <c r="AT186">
        <f t="shared" si="17"/>
        <v>5</v>
      </c>
      <c r="AU186">
        <f t="shared" si="18"/>
        <v>0</v>
      </c>
      <c r="AV186">
        <f t="shared" si="19"/>
        <v>7</v>
      </c>
      <c r="AW186">
        <f t="shared" si="20"/>
        <v>7</v>
      </c>
      <c r="AX186">
        <f t="shared" si="21"/>
        <v>7</v>
      </c>
      <c r="AY186">
        <f t="shared" si="22"/>
        <v>7</v>
      </c>
    </row>
    <row r="187" spans="38:51" x14ac:dyDescent="0.35">
      <c r="AL187" s="19" t="s">
        <v>97</v>
      </c>
      <c r="AM187">
        <f t="shared" si="10"/>
        <v>7</v>
      </c>
      <c r="AN187">
        <f t="shared" si="11"/>
        <v>7</v>
      </c>
      <c r="AO187">
        <f t="shared" si="12"/>
        <v>7</v>
      </c>
      <c r="AP187">
        <f t="shared" si="13"/>
        <v>6</v>
      </c>
      <c r="AQ187">
        <f t="shared" si="14"/>
        <v>7</v>
      </c>
      <c r="AR187">
        <f t="shared" si="15"/>
        <v>7</v>
      </c>
      <c r="AS187">
        <f t="shared" si="16"/>
        <v>7</v>
      </c>
      <c r="AT187">
        <f t="shared" si="17"/>
        <v>7</v>
      </c>
      <c r="AU187">
        <f t="shared" si="18"/>
        <v>3</v>
      </c>
      <c r="AV187">
        <f t="shared" si="19"/>
        <v>7</v>
      </c>
      <c r="AW187">
        <f t="shared" si="20"/>
        <v>7</v>
      </c>
      <c r="AX187">
        <f t="shared" si="21"/>
        <v>7</v>
      </c>
      <c r="AY187">
        <f t="shared" si="22"/>
        <v>7</v>
      </c>
    </row>
    <row r="188" spans="38:51" x14ac:dyDescent="0.35">
      <c r="AL188" s="19" t="s">
        <v>98</v>
      </c>
      <c r="AM188">
        <f t="shared" si="10"/>
        <v>7</v>
      </c>
      <c r="AN188">
        <f t="shared" si="11"/>
        <v>7</v>
      </c>
      <c r="AO188">
        <f t="shared" si="12"/>
        <v>7</v>
      </c>
      <c r="AP188">
        <f t="shared" si="13"/>
        <v>5</v>
      </c>
      <c r="AQ188">
        <f t="shared" si="14"/>
        <v>5</v>
      </c>
      <c r="AR188">
        <f t="shared" si="15"/>
        <v>6</v>
      </c>
      <c r="AS188">
        <f t="shared" si="16"/>
        <v>7</v>
      </c>
      <c r="AT188">
        <f t="shared" si="17"/>
        <v>4</v>
      </c>
      <c r="AU188">
        <f t="shared" si="18"/>
        <v>0</v>
      </c>
      <c r="AV188">
        <f t="shared" si="19"/>
        <v>6</v>
      </c>
      <c r="AW188">
        <f t="shared" si="20"/>
        <v>6</v>
      </c>
      <c r="AX188">
        <f t="shared" si="21"/>
        <v>3</v>
      </c>
      <c r="AY188">
        <f t="shared" si="22"/>
        <v>3</v>
      </c>
    </row>
    <row r="189" spans="38:51" x14ac:dyDescent="0.35">
      <c r="AL189" s="19" t="s">
        <v>255</v>
      </c>
      <c r="AM189">
        <f t="shared" si="10"/>
        <v>7</v>
      </c>
      <c r="AN189">
        <f t="shared" si="11"/>
        <v>7</v>
      </c>
      <c r="AO189">
        <f t="shared" si="12"/>
        <v>7</v>
      </c>
      <c r="AP189">
        <f t="shared" si="13"/>
        <v>4</v>
      </c>
      <c r="AQ189">
        <f t="shared" si="14"/>
        <v>5</v>
      </c>
      <c r="AR189">
        <f t="shared" si="15"/>
        <v>7</v>
      </c>
      <c r="AS189">
        <f t="shared" si="16"/>
        <v>7</v>
      </c>
      <c r="AT189">
        <f t="shared" si="17"/>
        <v>6</v>
      </c>
      <c r="AU189">
        <f t="shared" si="18"/>
        <v>7</v>
      </c>
      <c r="AV189">
        <f t="shared" si="19"/>
        <v>7</v>
      </c>
      <c r="AW189">
        <f t="shared" si="20"/>
        <v>7</v>
      </c>
      <c r="AX189">
        <f t="shared" si="21"/>
        <v>7</v>
      </c>
      <c r="AY189">
        <f t="shared" si="22"/>
        <v>7</v>
      </c>
    </row>
    <row r="190" spans="38:51" x14ac:dyDescent="0.35">
      <c r="AL190" s="19" t="s">
        <v>99</v>
      </c>
      <c r="AM190">
        <f t="shared" si="10"/>
        <v>3</v>
      </c>
      <c r="AN190">
        <f t="shared" si="11"/>
        <v>3</v>
      </c>
      <c r="AO190">
        <f t="shared" si="12"/>
        <v>1</v>
      </c>
      <c r="AP190">
        <f t="shared" si="13"/>
        <v>0</v>
      </c>
      <c r="AQ190">
        <f t="shared" si="14"/>
        <v>0</v>
      </c>
      <c r="AR190">
        <f t="shared" si="15"/>
        <v>0</v>
      </c>
      <c r="AS190">
        <f t="shared" si="16"/>
        <v>0</v>
      </c>
      <c r="AT190">
        <f t="shared" si="17"/>
        <v>0</v>
      </c>
      <c r="AU190">
        <f t="shared" si="18"/>
        <v>0</v>
      </c>
      <c r="AV190">
        <f t="shared" si="19"/>
        <v>1</v>
      </c>
      <c r="AW190">
        <f t="shared" si="20"/>
        <v>0</v>
      </c>
      <c r="AX190">
        <f t="shared" si="21"/>
        <v>0</v>
      </c>
      <c r="AY190">
        <f t="shared" si="22"/>
        <v>1</v>
      </c>
    </row>
    <row r="191" spans="38:51" x14ac:dyDescent="0.35">
      <c r="AL191" s="19" t="s">
        <v>100</v>
      </c>
      <c r="AM191">
        <f t="shared" si="10"/>
        <v>6</v>
      </c>
      <c r="AN191">
        <f t="shared" si="11"/>
        <v>6</v>
      </c>
      <c r="AO191">
        <f t="shared" si="12"/>
        <v>6</v>
      </c>
      <c r="AP191">
        <f t="shared" si="13"/>
        <v>6</v>
      </c>
      <c r="AQ191">
        <f t="shared" si="14"/>
        <v>5</v>
      </c>
      <c r="AR191">
        <f t="shared" si="15"/>
        <v>7</v>
      </c>
      <c r="AS191">
        <f t="shared" si="16"/>
        <v>7</v>
      </c>
      <c r="AT191">
        <f t="shared" si="17"/>
        <v>7</v>
      </c>
      <c r="AU191">
        <f t="shared" si="18"/>
        <v>5</v>
      </c>
      <c r="AV191">
        <f t="shared" si="19"/>
        <v>7</v>
      </c>
      <c r="AW191">
        <f t="shared" si="20"/>
        <v>7</v>
      </c>
      <c r="AX191">
        <f t="shared" si="21"/>
        <v>7</v>
      </c>
      <c r="AY191">
        <f t="shared" si="22"/>
        <v>7</v>
      </c>
    </row>
    <row r="192" spans="38:51" x14ac:dyDescent="0.35">
      <c r="AL192" s="19" t="s">
        <v>101</v>
      </c>
      <c r="AM192">
        <f t="shared" si="10"/>
        <v>7</v>
      </c>
      <c r="AN192">
        <f t="shared" si="11"/>
        <v>5</v>
      </c>
      <c r="AO192">
        <f t="shared" si="12"/>
        <v>5</v>
      </c>
      <c r="AP192">
        <f t="shared" si="13"/>
        <v>4</v>
      </c>
      <c r="AQ192">
        <f t="shared" si="14"/>
        <v>4</v>
      </c>
      <c r="AR192">
        <f t="shared" si="15"/>
        <v>7</v>
      </c>
      <c r="AS192">
        <f t="shared" si="16"/>
        <v>7</v>
      </c>
      <c r="AT192">
        <f t="shared" si="17"/>
        <v>7</v>
      </c>
      <c r="AU192">
        <f t="shared" si="18"/>
        <v>6</v>
      </c>
      <c r="AV192">
        <f t="shared" si="19"/>
        <v>7</v>
      </c>
      <c r="AW192">
        <f t="shared" si="20"/>
        <v>7</v>
      </c>
      <c r="AX192">
        <f t="shared" si="21"/>
        <v>7</v>
      </c>
      <c r="AY192">
        <f t="shared" si="22"/>
        <v>7</v>
      </c>
    </row>
    <row r="193" spans="38:51" x14ac:dyDescent="0.35">
      <c r="AL193" s="19" t="s">
        <v>102</v>
      </c>
      <c r="AM193">
        <f t="shared" si="10"/>
        <v>7</v>
      </c>
      <c r="AN193">
        <f t="shared" si="11"/>
        <v>7</v>
      </c>
      <c r="AO193">
        <f t="shared" si="12"/>
        <v>7</v>
      </c>
      <c r="AP193">
        <f t="shared" si="13"/>
        <v>7</v>
      </c>
      <c r="AQ193">
        <f t="shared" si="14"/>
        <v>7</v>
      </c>
      <c r="AR193">
        <f t="shared" si="15"/>
        <v>7</v>
      </c>
      <c r="AS193">
        <f t="shared" si="16"/>
        <v>7</v>
      </c>
      <c r="AT193">
        <f t="shared" si="17"/>
        <v>7</v>
      </c>
      <c r="AU193">
        <f t="shared" si="18"/>
        <v>7</v>
      </c>
      <c r="AV193">
        <f t="shared" si="19"/>
        <v>7</v>
      </c>
      <c r="AW193">
        <f t="shared" si="20"/>
        <v>7</v>
      </c>
      <c r="AX193">
        <f t="shared" si="21"/>
        <v>7</v>
      </c>
      <c r="AY193">
        <f t="shared" si="22"/>
        <v>7</v>
      </c>
    </row>
    <row r="194" spans="38:51" x14ac:dyDescent="0.35">
      <c r="AL194" s="19" t="s">
        <v>103</v>
      </c>
      <c r="AM194">
        <f t="shared" si="10"/>
        <v>7</v>
      </c>
      <c r="AN194">
        <f t="shared" si="11"/>
        <v>7</v>
      </c>
      <c r="AO194">
        <f t="shared" si="12"/>
        <v>7</v>
      </c>
      <c r="AP194">
        <f t="shared" si="13"/>
        <v>5</v>
      </c>
      <c r="AQ194">
        <f t="shared" si="14"/>
        <v>7</v>
      </c>
      <c r="AR194">
        <f t="shared" si="15"/>
        <v>7</v>
      </c>
      <c r="AS194">
        <f t="shared" si="16"/>
        <v>7</v>
      </c>
      <c r="AT194">
        <f t="shared" si="17"/>
        <v>7</v>
      </c>
      <c r="AU194">
        <f t="shared" si="18"/>
        <v>7</v>
      </c>
      <c r="AV194">
        <f t="shared" si="19"/>
        <v>7</v>
      </c>
      <c r="AW194">
        <f t="shared" si="20"/>
        <v>7</v>
      </c>
      <c r="AX194">
        <f t="shared" si="21"/>
        <v>7</v>
      </c>
      <c r="AY194">
        <f t="shared" si="22"/>
        <v>7</v>
      </c>
    </row>
    <row r="195" spans="38:51" x14ac:dyDescent="0.35">
      <c r="AL195" s="19" t="s">
        <v>104</v>
      </c>
      <c r="AM195">
        <f t="shared" si="10"/>
        <v>7</v>
      </c>
      <c r="AN195">
        <f t="shared" si="11"/>
        <v>7</v>
      </c>
      <c r="AO195">
        <f t="shared" si="12"/>
        <v>6</v>
      </c>
      <c r="AP195">
        <f t="shared" si="13"/>
        <v>5</v>
      </c>
      <c r="AQ195">
        <f t="shared" si="14"/>
        <v>6</v>
      </c>
      <c r="AR195">
        <f t="shared" si="15"/>
        <v>7</v>
      </c>
      <c r="AS195">
        <f t="shared" si="16"/>
        <v>7</v>
      </c>
      <c r="AT195">
        <f t="shared" si="17"/>
        <v>7</v>
      </c>
      <c r="AU195">
        <f t="shared" si="18"/>
        <v>5</v>
      </c>
      <c r="AV195">
        <f t="shared" si="19"/>
        <v>7</v>
      </c>
      <c r="AW195">
        <f t="shared" si="20"/>
        <v>7</v>
      </c>
      <c r="AX195">
        <f t="shared" si="21"/>
        <v>7</v>
      </c>
      <c r="AY195">
        <f t="shared" si="22"/>
        <v>7</v>
      </c>
    </row>
    <row r="196" spans="38:51" x14ac:dyDescent="0.35">
      <c r="AL196" s="19" t="s">
        <v>105</v>
      </c>
      <c r="AM196">
        <f t="shared" si="10"/>
        <v>7</v>
      </c>
      <c r="AN196">
        <f t="shared" si="11"/>
        <v>7</v>
      </c>
      <c r="AO196">
        <f t="shared" si="12"/>
        <v>7</v>
      </c>
      <c r="AP196">
        <f t="shared" si="13"/>
        <v>5</v>
      </c>
      <c r="AQ196">
        <f t="shared" si="14"/>
        <v>7</v>
      </c>
      <c r="AR196">
        <f t="shared" si="15"/>
        <v>7</v>
      </c>
      <c r="AS196">
        <f t="shared" si="16"/>
        <v>7</v>
      </c>
      <c r="AT196">
        <f t="shared" si="17"/>
        <v>7</v>
      </c>
      <c r="AU196">
        <f t="shared" si="18"/>
        <v>7</v>
      </c>
      <c r="AV196">
        <f t="shared" si="19"/>
        <v>7</v>
      </c>
      <c r="AW196">
        <f t="shared" si="20"/>
        <v>7</v>
      </c>
      <c r="AX196">
        <f t="shared" si="21"/>
        <v>7</v>
      </c>
      <c r="AY196">
        <f t="shared" si="22"/>
        <v>7</v>
      </c>
    </row>
    <row r="197" spans="38:51" x14ac:dyDescent="0.35">
      <c r="AL197" s="19" t="s">
        <v>106</v>
      </c>
      <c r="AM197">
        <f t="shared" si="10"/>
        <v>7</v>
      </c>
      <c r="AN197">
        <f t="shared" si="11"/>
        <v>7</v>
      </c>
      <c r="AO197">
        <f t="shared" si="12"/>
        <v>7</v>
      </c>
      <c r="AP197">
        <f t="shared" si="13"/>
        <v>5</v>
      </c>
      <c r="AQ197">
        <f t="shared" si="14"/>
        <v>6</v>
      </c>
      <c r="AR197">
        <f t="shared" si="15"/>
        <v>7</v>
      </c>
      <c r="AS197">
        <f t="shared" si="16"/>
        <v>7</v>
      </c>
      <c r="AT197">
        <f t="shared" si="17"/>
        <v>7</v>
      </c>
      <c r="AU197">
        <f t="shared" si="18"/>
        <v>7</v>
      </c>
      <c r="AV197">
        <f t="shared" si="19"/>
        <v>7</v>
      </c>
      <c r="AW197">
        <f t="shared" si="20"/>
        <v>7</v>
      </c>
      <c r="AX197">
        <f t="shared" si="21"/>
        <v>7</v>
      </c>
      <c r="AY197">
        <f t="shared" si="22"/>
        <v>7</v>
      </c>
    </row>
    <row r="198" spans="38:51" x14ac:dyDescent="0.35">
      <c r="AL198" s="19" t="s">
        <v>107</v>
      </c>
      <c r="AM198">
        <f t="shared" si="10"/>
        <v>7</v>
      </c>
      <c r="AN198">
        <f t="shared" si="11"/>
        <v>7</v>
      </c>
      <c r="AO198">
        <f t="shared" si="12"/>
        <v>7</v>
      </c>
      <c r="AP198">
        <f t="shared" si="13"/>
        <v>7</v>
      </c>
      <c r="AQ198">
        <f t="shared" si="14"/>
        <v>7</v>
      </c>
      <c r="AR198">
        <f t="shared" si="15"/>
        <v>7</v>
      </c>
      <c r="AS198">
        <f t="shared" si="16"/>
        <v>7</v>
      </c>
      <c r="AT198">
        <f t="shared" si="17"/>
        <v>7</v>
      </c>
      <c r="AU198">
        <f t="shared" si="18"/>
        <v>7</v>
      </c>
      <c r="AV198">
        <f t="shared" si="19"/>
        <v>7</v>
      </c>
      <c r="AW198">
        <f t="shared" si="20"/>
        <v>7</v>
      </c>
      <c r="AX198">
        <f t="shared" si="21"/>
        <v>7</v>
      </c>
      <c r="AY198">
        <f t="shared" si="22"/>
        <v>7</v>
      </c>
    </row>
    <row r="199" spans="38:51" x14ac:dyDescent="0.35">
      <c r="AL199" s="19" t="s">
        <v>256</v>
      </c>
      <c r="AM199">
        <f t="shared" si="10"/>
        <v>7</v>
      </c>
      <c r="AN199">
        <f t="shared" si="11"/>
        <v>7</v>
      </c>
      <c r="AO199">
        <f t="shared" si="12"/>
        <v>7</v>
      </c>
      <c r="AP199">
        <f t="shared" si="13"/>
        <v>4</v>
      </c>
      <c r="AQ199">
        <f t="shared" si="14"/>
        <v>5</v>
      </c>
      <c r="AR199">
        <f t="shared" si="15"/>
        <v>7</v>
      </c>
      <c r="AS199">
        <f t="shared" si="16"/>
        <v>7</v>
      </c>
      <c r="AT199">
        <f t="shared" si="17"/>
        <v>7</v>
      </c>
      <c r="AU199">
        <f t="shared" si="18"/>
        <v>0</v>
      </c>
      <c r="AV199">
        <f t="shared" si="19"/>
        <v>7</v>
      </c>
      <c r="AW199">
        <f t="shared" si="20"/>
        <v>7</v>
      </c>
      <c r="AX199">
        <f t="shared" si="21"/>
        <v>7</v>
      </c>
      <c r="AY199">
        <f t="shared" si="22"/>
        <v>7</v>
      </c>
    </row>
    <row r="200" spans="38:51" x14ac:dyDescent="0.35">
      <c r="AL200" s="19" t="s">
        <v>215</v>
      </c>
      <c r="AM200">
        <f t="shared" si="10"/>
        <v>7</v>
      </c>
      <c r="AN200">
        <f t="shared" si="11"/>
        <v>7</v>
      </c>
      <c r="AO200">
        <f t="shared" si="12"/>
        <v>7</v>
      </c>
      <c r="AP200">
        <f t="shared" si="13"/>
        <v>6</v>
      </c>
      <c r="AQ200">
        <f t="shared" si="14"/>
        <v>5</v>
      </c>
      <c r="AR200">
        <f t="shared" si="15"/>
        <v>7</v>
      </c>
      <c r="AS200">
        <f t="shared" si="16"/>
        <v>7</v>
      </c>
      <c r="AT200">
        <f t="shared" si="17"/>
        <v>7</v>
      </c>
      <c r="AU200">
        <f t="shared" si="18"/>
        <v>5</v>
      </c>
      <c r="AV200">
        <f t="shared" si="19"/>
        <v>7</v>
      </c>
      <c r="AW200">
        <f t="shared" si="20"/>
        <v>7</v>
      </c>
      <c r="AX200">
        <f t="shared" si="21"/>
        <v>7</v>
      </c>
      <c r="AY200">
        <f t="shared" si="22"/>
        <v>7</v>
      </c>
    </row>
    <row r="201" spans="38:51" x14ac:dyDescent="0.35">
      <c r="AL201" s="19" t="s">
        <v>108</v>
      </c>
      <c r="AM201">
        <f t="shared" si="10"/>
        <v>7</v>
      </c>
      <c r="AN201">
        <f t="shared" si="11"/>
        <v>7</v>
      </c>
      <c r="AO201">
        <f t="shared" si="12"/>
        <v>7</v>
      </c>
      <c r="AP201">
        <f t="shared" si="13"/>
        <v>6</v>
      </c>
      <c r="AQ201">
        <f t="shared" si="14"/>
        <v>7</v>
      </c>
      <c r="AR201">
        <f t="shared" si="15"/>
        <v>7</v>
      </c>
      <c r="AS201">
        <f t="shared" si="16"/>
        <v>7</v>
      </c>
      <c r="AT201">
        <f t="shared" si="17"/>
        <v>7</v>
      </c>
      <c r="AU201">
        <f t="shared" si="18"/>
        <v>6</v>
      </c>
      <c r="AV201">
        <f t="shared" si="19"/>
        <v>7</v>
      </c>
      <c r="AW201">
        <f t="shared" si="20"/>
        <v>7</v>
      </c>
      <c r="AX201">
        <f t="shared" si="21"/>
        <v>7</v>
      </c>
      <c r="AY201">
        <f t="shared" si="22"/>
        <v>7</v>
      </c>
    </row>
    <row r="202" spans="38:51" x14ac:dyDescent="0.35">
      <c r="AL202" s="19" t="s">
        <v>109</v>
      </c>
      <c r="AM202">
        <f t="shared" si="10"/>
        <v>7</v>
      </c>
      <c r="AN202">
        <f t="shared" si="11"/>
        <v>7</v>
      </c>
      <c r="AO202">
        <f t="shared" si="12"/>
        <v>7</v>
      </c>
      <c r="AP202">
        <f t="shared" si="13"/>
        <v>3</v>
      </c>
      <c r="AQ202">
        <f t="shared" si="14"/>
        <v>4</v>
      </c>
      <c r="AR202">
        <f t="shared" si="15"/>
        <v>7</v>
      </c>
      <c r="AS202">
        <f t="shared" si="16"/>
        <v>7</v>
      </c>
      <c r="AT202">
        <f t="shared" si="17"/>
        <v>7</v>
      </c>
      <c r="AU202">
        <f t="shared" si="18"/>
        <v>1</v>
      </c>
      <c r="AV202">
        <f t="shared" si="19"/>
        <v>7</v>
      </c>
      <c r="AW202">
        <f t="shared" si="20"/>
        <v>7</v>
      </c>
      <c r="AX202">
        <f t="shared" si="21"/>
        <v>7</v>
      </c>
      <c r="AY202">
        <f t="shared" si="22"/>
        <v>7</v>
      </c>
    </row>
    <row r="203" spans="38:51" x14ac:dyDescent="0.35">
      <c r="AL203" s="19" t="s">
        <v>110</v>
      </c>
      <c r="AM203">
        <f t="shared" si="10"/>
        <v>7</v>
      </c>
      <c r="AN203">
        <f t="shared" si="11"/>
        <v>7</v>
      </c>
      <c r="AO203">
        <f t="shared" si="12"/>
        <v>7</v>
      </c>
      <c r="AP203">
        <f t="shared" si="13"/>
        <v>5</v>
      </c>
      <c r="AQ203">
        <f t="shared" si="14"/>
        <v>7</v>
      </c>
      <c r="AR203">
        <f t="shared" si="15"/>
        <v>7</v>
      </c>
      <c r="AS203">
        <f t="shared" si="16"/>
        <v>7</v>
      </c>
      <c r="AT203">
        <f t="shared" si="17"/>
        <v>7</v>
      </c>
      <c r="AU203">
        <f t="shared" si="18"/>
        <v>2</v>
      </c>
      <c r="AV203">
        <f t="shared" si="19"/>
        <v>7</v>
      </c>
      <c r="AW203">
        <f t="shared" si="20"/>
        <v>7</v>
      </c>
      <c r="AX203">
        <f t="shared" si="21"/>
        <v>7</v>
      </c>
      <c r="AY203">
        <f t="shared" si="22"/>
        <v>7</v>
      </c>
    </row>
    <row r="204" spans="38:51" x14ac:dyDescent="0.35">
      <c r="AL204" s="19" t="s">
        <v>288</v>
      </c>
      <c r="AM204">
        <f t="shared" si="10"/>
        <v>7</v>
      </c>
      <c r="AN204">
        <f t="shared" si="11"/>
        <v>7</v>
      </c>
      <c r="AO204">
        <f t="shared" si="12"/>
        <v>7</v>
      </c>
      <c r="AP204">
        <f t="shared" si="13"/>
        <v>5</v>
      </c>
      <c r="AQ204">
        <f t="shared" si="14"/>
        <v>3</v>
      </c>
      <c r="AR204">
        <f t="shared" si="15"/>
        <v>7</v>
      </c>
      <c r="AS204">
        <f t="shared" si="16"/>
        <v>7</v>
      </c>
      <c r="AT204">
        <f t="shared" si="17"/>
        <v>7</v>
      </c>
      <c r="AU204">
        <f t="shared" si="18"/>
        <v>0</v>
      </c>
      <c r="AV204">
        <f t="shared" si="19"/>
        <v>7</v>
      </c>
      <c r="AW204">
        <f t="shared" si="20"/>
        <v>7</v>
      </c>
      <c r="AX204">
        <f t="shared" si="21"/>
        <v>7</v>
      </c>
      <c r="AY204">
        <f t="shared" si="22"/>
        <v>7</v>
      </c>
    </row>
    <row r="205" spans="38:51" x14ac:dyDescent="0.35">
      <c r="AL205" s="19" t="s">
        <v>111</v>
      </c>
      <c r="AM205">
        <f t="shared" si="10"/>
        <v>6</v>
      </c>
      <c r="AN205">
        <f t="shared" si="11"/>
        <v>7</v>
      </c>
      <c r="AO205">
        <f t="shared" si="12"/>
        <v>6</v>
      </c>
      <c r="AP205">
        <f t="shared" si="13"/>
        <v>5</v>
      </c>
      <c r="AQ205">
        <f t="shared" si="14"/>
        <v>7</v>
      </c>
      <c r="AR205">
        <f t="shared" si="15"/>
        <v>7</v>
      </c>
      <c r="AS205">
        <f t="shared" si="16"/>
        <v>7</v>
      </c>
      <c r="AT205">
        <f t="shared" si="17"/>
        <v>7</v>
      </c>
      <c r="AU205">
        <f t="shared" si="18"/>
        <v>3</v>
      </c>
      <c r="AV205">
        <f t="shared" si="19"/>
        <v>7</v>
      </c>
      <c r="AW205">
        <f t="shared" si="20"/>
        <v>7</v>
      </c>
      <c r="AX205">
        <f t="shared" si="21"/>
        <v>7</v>
      </c>
      <c r="AY205">
        <f t="shared" si="22"/>
        <v>7</v>
      </c>
    </row>
    <row r="206" spans="38:51" x14ac:dyDescent="0.35">
      <c r="AL206" s="19" t="s">
        <v>112</v>
      </c>
      <c r="AM206">
        <f t="shared" si="10"/>
        <v>6</v>
      </c>
      <c r="AN206">
        <f t="shared" si="11"/>
        <v>7</v>
      </c>
      <c r="AO206">
        <f t="shared" si="12"/>
        <v>7</v>
      </c>
      <c r="AP206">
        <f t="shared" si="13"/>
        <v>6</v>
      </c>
      <c r="AQ206">
        <f t="shared" si="14"/>
        <v>7</v>
      </c>
      <c r="AR206">
        <f t="shared" si="15"/>
        <v>7</v>
      </c>
      <c r="AS206">
        <f t="shared" si="16"/>
        <v>7</v>
      </c>
      <c r="AT206">
        <f t="shared" si="17"/>
        <v>7</v>
      </c>
      <c r="AU206">
        <f t="shared" si="18"/>
        <v>3</v>
      </c>
      <c r="AV206">
        <f t="shared" si="19"/>
        <v>7</v>
      </c>
      <c r="AW206">
        <f t="shared" si="20"/>
        <v>3</v>
      </c>
      <c r="AX206">
        <f t="shared" si="21"/>
        <v>7</v>
      </c>
      <c r="AY206">
        <f t="shared" si="22"/>
        <v>7</v>
      </c>
    </row>
    <row r="207" spans="38:51" x14ac:dyDescent="0.35">
      <c r="AL207" s="19" t="s">
        <v>113</v>
      </c>
      <c r="AM207">
        <f t="shared" si="10"/>
        <v>7</v>
      </c>
      <c r="AN207">
        <f t="shared" si="11"/>
        <v>7</v>
      </c>
      <c r="AO207">
        <f t="shared" si="12"/>
        <v>7</v>
      </c>
      <c r="AP207">
        <f t="shared" si="13"/>
        <v>3</v>
      </c>
      <c r="AQ207">
        <f t="shared" si="14"/>
        <v>6</v>
      </c>
      <c r="AR207">
        <f t="shared" si="15"/>
        <v>7</v>
      </c>
      <c r="AS207">
        <f t="shared" si="16"/>
        <v>7</v>
      </c>
      <c r="AT207">
        <f t="shared" si="17"/>
        <v>7</v>
      </c>
      <c r="AU207">
        <f t="shared" si="18"/>
        <v>0</v>
      </c>
      <c r="AV207">
        <f t="shared" si="19"/>
        <v>6</v>
      </c>
      <c r="AW207">
        <f t="shared" si="20"/>
        <v>7</v>
      </c>
      <c r="AX207">
        <f t="shared" si="21"/>
        <v>7</v>
      </c>
      <c r="AY207">
        <f t="shared" si="22"/>
        <v>7</v>
      </c>
    </row>
    <row r="208" spans="38:51" x14ac:dyDescent="0.35">
      <c r="AL208" s="19" t="s">
        <v>114</v>
      </c>
      <c r="AM208">
        <f t="shared" si="10"/>
        <v>7</v>
      </c>
      <c r="AN208">
        <f t="shared" si="11"/>
        <v>7</v>
      </c>
      <c r="AO208">
        <f t="shared" si="12"/>
        <v>7</v>
      </c>
      <c r="AP208">
        <f t="shared" si="13"/>
        <v>6</v>
      </c>
      <c r="AQ208">
        <f t="shared" si="14"/>
        <v>7</v>
      </c>
      <c r="AR208">
        <f t="shared" si="15"/>
        <v>7</v>
      </c>
      <c r="AS208">
        <f t="shared" si="16"/>
        <v>7</v>
      </c>
      <c r="AT208">
        <f t="shared" si="17"/>
        <v>7</v>
      </c>
      <c r="AU208">
        <f t="shared" si="18"/>
        <v>0</v>
      </c>
      <c r="AV208">
        <f t="shared" si="19"/>
        <v>7</v>
      </c>
      <c r="AW208">
        <f t="shared" si="20"/>
        <v>7</v>
      </c>
      <c r="AX208">
        <f t="shared" si="21"/>
        <v>7</v>
      </c>
      <c r="AY208">
        <f t="shared" si="22"/>
        <v>7</v>
      </c>
    </row>
    <row r="209" spans="38:51" x14ac:dyDescent="0.35">
      <c r="AL209" s="19" t="s">
        <v>115</v>
      </c>
      <c r="AM209">
        <f t="shared" si="10"/>
        <v>7</v>
      </c>
      <c r="AN209">
        <f t="shared" si="11"/>
        <v>7</v>
      </c>
      <c r="AO209">
        <f t="shared" si="12"/>
        <v>7</v>
      </c>
      <c r="AP209">
        <f t="shared" si="13"/>
        <v>7</v>
      </c>
      <c r="AQ209">
        <f t="shared" si="14"/>
        <v>7</v>
      </c>
      <c r="AR209">
        <f t="shared" si="15"/>
        <v>7</v>
      </c>
      <c r="AS209">
        <f t="shared" si="16"/>
        <v>7</v>
      </c>
      <c r="AT209">
        <f t="shared" si="17"/>
        <v>7</v>
      </c>
      <c r="AU209">
        <f t="shared" si="18"/>
        <v>7</v>
      </c>
      <c r="AV209">
        <f t="shared" si="19"/>
        <v>7</v>
      </c>
      <c r="AW209">
        <f t="shared" si="20"/>
        <v>7</v>
      </c>
      <c r="AX209">
        <f t="shared" si="21"/>
        <v>7</v>
      </c>
      <c r="AY209">
        <f t="shared" si="22"/>
        <v>7</v>
      </c>
    </row>
    <row r="210" spans="38:51" x14ac:dyDescent="0.35">
      <c r="AL210" s="19" t="s">
        <v>280</v>
      </c>
      <c r="AM210">
        <f t="shared" si="10"/>
        <v>6</v>
      </c>
      <c r="AN210">
        <f t="shared" si="11"/>
        <v>7</v>
      </c>
      <c r="AO210">
        <f t="shared" si="12"/>
        <v>7</v>
      </c>
      <c r="AP210">
        <f t="shared" si="13"/>
        <v>4</v>
      </c>
      <c r="AQ210">
        <f t="shared" si="14"/>
        <v>7</v>
      </c>
      <c r="AR210">
        <f t="shared" si="15"/>
        <v>7</v>
      </c>
      <c r="AS210">
        <f t="shared" si="16"/>
        <v>7</v>
      </c>
      <c r="AT210">
        <f t="shared" si="17"/>
        <v>7</v>
      </c>
      <c r="AU210">
        <f t="shared" si="18"/>
        <v>0</v>
      </c>
      <c r="AV210">
        <f t="shared" si="19"/>
        <v>7</v>
      </c>
      <c r="AW210">
        <f t="shared" si="20"/>
        <v>7</v>
      </c>
      <c r="AX210">
        <f t="shared" si="21"/>
        <v>7</v>
      </c>
      <c r="AY210">
        <f t="shared" si="22"/>
        <v>7</v>
      </c>
    </row>
    <row r="211" spans="38:51" x14ac:dyDescent="0.35">
      <c r="AL211" s="19" t="s">
        <v>116</v>
      </c>
      <c r="AM211">
        <f t="shared" si="10"/>
        <v>6</v>
      </c>
      <c r="AN211">
        <f t="shared" si="11"/>
        <v>5</v>
      </c>
      <c r="AO211">
        <f t="shared" si="12"/>
        <v>7</v>
      </c>
      <c r="AP211">
        <f t="shared" si="13"/>
        <v>7</v>
      </c>
      <c r="AQ211">
        <f t="shared" si="14"/>
        <v>7</v>
      </c>
      <c r="AR211">
        <f t="shared" si="15"/>
        <v>7</v>
      </c>
      <c r="AS211">
        <f t="shared" si="16"/>
        <v>7</v>
      </c>
      <c r="AT211">
        <f t="shared" si="17"/>
        <v>7</v>
      </c>
      <c r="AU211">
        <f t="shared" si="18"/>
        <v>7</v>
      </c>
      <c r="AV211">
        <f t="shared" si="19"/>
        <v>7</v>
      </c>
      <c r="AW211">
        <f t="shared" si="20"/>
        <v>7</v>
      </c>
      <c r="AX211">
        <f t="shared" si="21"/>
        <v>7</v>
      </c>
      <c r="AY211">
        <f t="shared" si="22"/>
        <v>7</v>
      </c>
    </row>
    <row r="212" spans="38:51" x14ac:dyDescent="0.35">
      <c r="AL212" s="19" t="s">
        <v>117</v>
      </c>
      <c r="AM212">
        <f t="shared" si="10"/>
        <v>6</v>
      </c>
      <c r="AN212">
        <f t="shared" si="11"/>
        <v>7</v>
      </c>
      <c r="AO212">
        <f t="shared" si="12"/>
        <v>7</v>
      </c>
      <c r="AP212">
        <f t="shared" si="13"/>
        <v>5</v>
      </c>
      <c r="AQ212">
        <f t="shared" si="14"/>
        <v>6</v>
      </c>
      <c r="AR212">
        <f t="shared" si="15"/>
        <v>7</v>
      </c>
      <c r="AS212">
        <f t="shared" si="16"/>
        <v>7</v>
      </c>
      <c r="AT212">
        <f t="shared" si="17"/>
        <v>6</v>
      </c>
      <c r="AU212">
        <f t="shared" si="18"/>
        <v>1</v>
      </c>
      <c r="AV212">
        <f t="shared" si="19"/>
        <v>5</v>
      </c>
      <c r="AW212">
        <f t="shared" si="20"/>
        <v>6</v>
      </c>
      <c r="AX212">
        <f t="shared" si="21"/>
        <v>6</v>
      </c>
      <c r="AY212">
        <f t="shared" si="22"/>
        <v>4</v>
      </c>
    </row>
    <row r="213" spans="38:51" x14ac:dyDescent="0.35">
      <c r="AL213" s="19" t="s">
        <v>118</v>
      </c>
      <c r="AM213">
        <f t="shared" si="10"/>
        <v>7</v>
      </c>
      <c r="AN213">
        <f t="shared" si="11"/>
        <v>7</v>
      </c>
      <c r="AO213">
        <f t="shared" si="12"/>
        <v>7</v>
      </c>
      <c r="AP213">
        <f t="shared" si="13"/>
        <v>6</v>
      </c>
      <c r="AQ213">
        <f t="shared" si="14"/>
        <v>7</v>
      </c>
      <c r="AR213">
        <f t="shared" si="15"/>
        <v>7</v>
      </c>
      <c r="AS213">
        <f t="shared" si="16"/>
        <v>7</v>
      </c>
      <c r="AT213">
        <f t="shared" si="17"/>
        <v>7</v>
      </c>
      <c r="AU213">
        <f t="shared" si="18"/>
        <v>7</v>
      </c>
      <c r="AV213">
        <f t="shared" si="19"/>
        <v>7</v>
      </c>
      <c r="AW213">
        <f t="shared" si="20"/>
        <v>7</v>
      </c>
      <c r="AX213">
        <f t="shared" si="21"/>
        <v>7</v>
      </c>
      <c r="AY213">
        <f t="shared" si="22"/>
        <v>7</v>
      </c>
    </row>
    <row r="214" spans="38:51" x14ac:dyDescent="0.35">
      <c r="AL214" s="19" t="s">
        <v>119</v>
      </c>
      <c r="AM214">
        <f t="shared" si="10"/>
        <v>7</v>
      </c>
      <c r="AN214">
        <f t="shared" si="11"/>
        <v>7</v>
      </c>
      <c r="AO214">
        <f t="shared" si="12"/>
        <v>7</v>
      </c>
      <c r="AP214">
        <f t="shared" si="13"/>
        <v>7</v>
      </c>
      <c r="AQ214">
        <f t="shared" si="14"/>
        <v>7</v>
      </c>
      <c r="AR214">
        <f t="shared" si="15"/>
        <v>7</v>
      </c>
      <c r="AS214">
        <f t="shared" si="16"/>
        <v>7</v>
      </c>
      <c r="AT214">
        <f t="shared" si="17"/>
        <v>7</v>
      </c>
      <c r="AU214">
        <f t="shared" si="18"/>
        <v>7</v>
      </c>
      <c r="AV214">
        <f t="shared" si="19"/>
        <v>7</v>
      </c>
      <c r="AW214">
        <f t="shared" si="20"/>
        <v>7</v>
      </c>
      <c r="AX214">
        <f t="shared" si="21"/>
        <v>7</v>
      </c>
      <c r="AY214">
        <f t="shared" si="22"/>
        <v>7</v>
      </c>
    </row>
    <row r="215" spans="38:51" x14ac:dyDescent="0.35">
      <c r="AL215" s="19" t="s">
        <v>335</v>
      </c>
      <c r="AM215">
        <f t="shared" si="10"/>
        <v>6</v>
      </c>
      <c r="AN215">
        <f t="shared" si="11"/>
        <v>7</v>
      </c>
      <c r="AO215">
        <f t="shared" si="12"/>
        <v>6</v>
      </c>
      <c r="AP215">
        <f t="shared" si="13"/>
        <v>3</v>
      </c>
      <c r="AQ215">
        <f t="shared" si="14"/>
        <v>3</v>
      </c>
      <c r="AR215">
        <f t="shared" si="15"/>
        <v>4</v>
      </c>
      <c r="AS215">
        <f t="shared" si="16"/>
        <v>5</v>
      </c>
      <c r="AT215">
        <f t="shared" si="17"/>
        <v>6</v>
      </c>
      <c r="AU215">
        <f t="shared" si="18"/>
        <v>0</v>
      </c>
      <c r="AV215">
        <f t="shared" si="19"/>
        <v>7</v>
      </c>
      <c r="AW215">
        <f t="shared" si="20"/>
        <v>7</v>
      </c>
      <c r="AX215">
        <f t="shared" si="21"/>
        <v>5</v>
      </c>
      <c r="AY215">
        <f t="shared" si="22"/>
        <v>6</v>
      </c>
    </row>
    <row r="216" spans="38:51" x14ac:dyDescent="0.35">
      <c r="AL216" s="19" t="s">
        <v>120</v>
      </c>
      <c r="AM216">
        <f t="shared" ref="AM216:AM274" si="23">COUNTIF($AM73:$AS73,"&gt;=85%")</f>
        <v>7</v>
      </c>
      <c r="AN216">
        <f t="shared" ref="AN216:AN275" si="24">COUNTIF($AU73:$BA73,"&gt;=85%")</f>
        <v>6</v>
      </c>
      <c r="AO216">
        <f t="shared" ref="AO216:AO275" si="25">COUNTIF($BC73:$BI73,"&gt;=85%")</f>
        <v>6</v>
      </c>
      <c r="AP216">
        <f t="shared" ref="AP216:AP275" si="26">COUNTIF($BK73:$BQ73,"&gt;=85%")</f>
        <v>3</v>
      </c>
      <c r="AQ216">
        <f t="shared" ref="AQ216:AQ275" si="27">COUNTIF($BS73:$BY73,"&gt;=85%")</f>
        <v>5</v>
      </c>
      <c r="AR216">
        <f t="shared" ref="AR216:AR275" si="28">COUNTIF($CA73:$CG73,"&gt;=85%")</f>
        <v>7</v>
      </c>
      <c r="AS216">
        <f t="shared" ref="AS216:AS275" si="29">COUNTIF($CI73:$CO73,"&gt;=85%")</f>
        <v>6</v>
      </c>
      <c r="AT216">
        <f t="shared" ref="AT216:AT275" si="30">COUNTIF($CQ73:$CW73,"&gt;=85%")</f>
        <v>7</v>
      </c>
      <c r="AU216">
        <f t="shared" ref="AU216:AU275" si="31">COUNTIF($CY73:$DE73,"&gt;=92%")</f>
        <v>2</v>
      </c>
      <c r="AV216">
        <f t="shared" ref="AV216:AV275" si="32">COUNTIF($DG73:$DM73,"&gt;=85%")</f>
        <v>7</v>
      </c>
      <c r="AW216">
        <f t="shared" ref="AW216:AW275" si="33">COUNTIF($DO73:$DU73,"&gt;=85%")</f>
        <v>7</v>
      </c>
      <c r="AX216">
        <f t="shared" ref="AX216:AX275" si="34">COUNTIF($DW73:$EC73,"&gt;=85%")</f>
        <v>7</v>
      </c>
      <c r="AY216">
        <f t="shared" ref="AY216:AY275" si="35">COUNTIF($EE73:$EK73,"&gt;=85%")</f>
        <v>7</v>
      </c>
    </row>
    <row r="217" spans="38:51" x14ac:dyDescent="0.35">
      <c r="AL217" s="19" t="s">
        <v>121</v>
      </c>
      <c r="AM217">
        <f t="shared" si="23"/>
        <v>7</v>
      </c>
      <c r="AN217">
        <f t="shared" si="24"/>
        <v>7</v>
      </c>
      <c r="AO217">
        <f t="shared" si="25"/>
        <v>7</v>
      </c>
      <c r="AP217">
        <f t="shared" si="26"/>
        <v>5</v>
      </c>
      <c r="AQ217">
        <f t="shared" si="27"/>
        <v>5</v>
      </c>
      <c r="AR217">
        <f t="shared" si="28"/>
        <v>7</v>
      </c>
      <c r="AS217">
        <f t="shared" si="29"/>
        <v>6</v>
      </c>
      <c r="AT217">
        <f t="shared" si="30"/>
        <v>7</v>
      </c>
      <c r="AU217">
        <f t="shared" si="31"/>
        <v>2</v>
      </c>
      <c r="AV217">
        <f t="shared" si="32"/>
        <v>7</v>
      </c>
      <c r="AW217">
        <f t="shared" si="33"/>
        <v>7</v>
      </c>
      <c r="AX217">
        <f t="shared" si="34"/>
        <v>7</v>
      </c>
      <c r="AY217">
        <f t="shared" si="35"/>
        <v>7</v>
      </c>
    </row>
    <row r="218" spans="38:51" x14ac:dyDescent="0.35">
      <c r="AL218" s="19" t="s">
        <v>122</v>
      </c>
      <c r="AM218">
        <f t="shared" si="23"/>
        <v>6</v>
      </c>
      <c r="AN218">
        <f t="shared" si="24"/>
        <v>7</v>
      </c>
      <c r="AO218">
        <f t="shared" si="25"/>
        <v>5</v>
      </c>
      <c r="AP218">
        <f t="shared" si="26"/>
        <v>3</v>
      </c>
      <c r="AQ218">
        <f t="shared" si="27"/>
        <v>4</v>
      </c>
      <c r="AR218">
        <f t="shared" si="28"/>
        <v>7</v>
      </c>
      <c r="AS218">
        <f t="shared" si="29"/>
        <v>7</v>
      </c>
      <c r="AT218">
        <f t="shared" si="30"/>
        <v>7</v>
      </c>
      <c r="AU218">
        <f t="shared" si="31"/>
        <v>1</v>
      </c>
      <c r="AV218">
        <f t="shared" si="32"/>
        <v>7</v>
      </c>
      <c r="AW218">
        <f t="shared" si="33"/>
        <v>7</v>
      </c>
      <c r="AX218">
        <f t="shared" si="34"/>
        <v>7</v>
      </c>
      <c r="AY218">
        <f t="shared" si="35"/>
        <v>7</v>
      </c>
    </row>
    <row r="219" spans="38:51" x14ac:dyDescent="0.35">
      <c r="AL219" s="19" t="s">
        <v>123</v>
      </c>
      <c r="AM219">
        <f t="shared" si="23"/>
        <v>7</v>
      </c>
      <c r="AN219">
        <f t="shared" si="24"/>
        <v>7</v>
      </c>
      <c r="AO219">
        <f t="shared" si="25"/>
        <v>7</v>
      </c>
      <c r="AP219">
        <f t="shared" si="26"/>
        <v>3</v>
      </c>
      <c r="AQ219">
        <f t="shared" si="27"/>
        <v>2</v>
      </c>
      <c r="AR219">
        <f t="shared" si="28"/>
        <v>6</v>
      </c>
      <c r="AS219">
        <f t="shared" si="29"/>
        <v>7</v>
      </c>
      <c r="AT219">
        <f t="shared" si="30"/>
        <v>6</v>
      </c>
      <c r="AU219">
        <f t="shared" si="31"/>
        <v>1</v>
      </c>
      <c r="AV219">
        <f t="shared" si="32"/>
        <v>7</v>
      </c>
      <c r="AW219">
        <f t="shared" si="33"/>
        <v>6</v>
      </c>
      <c r="AX219">
        <f t="shared" si="34"/>
        <v>7</v>
      </c>
      <c r="AY219">
        <f t="shared" si="35"/>
        <v>7</v>
      </c>
    </row>
    <row r="220" spans="38:51" x14ac:dyDescent="0.35">
      <c r="AL220" s="19" t="s">
        <v>124</v>
      </c>
      <c r="AM220">
        <f t="shared" si="23"/>
        <v>7</v>
      </c>
      <c r="AN220">
        <f t="shared" si="24"/>
        <v>7</v>
      </c>
      <c r="AO220">
        <f t="shared" si="25"/>
        <v>7</v>
      </c>
      <c r="AP220">
        <f t="shared" si="26"/>
        <v>5</v>
      </c>
      <c r="AQ220">
        <f t="shared" si="27"/>
        <v>7</v>
      </c>
      <c r="AR220">
        <f t="shared" si="28"/>
        <v>7</v>
      </c>
      <c r="AS220">
        <f t="shared" si="29"/>
        <v>7</v>
      </c>
      <c r="AT220">
        <f t="shared" si="30"/>
        <v>7</v>
      </c>
      <c r="AU220">
        <f t="shared" si="31"/>
        <v>7</v>
      </c>
      <c r="AV220">
        <f t="shared" si="32"/>
        <v>7</v>
      </c>
      <c r="AW220">
        <f t="shared" si="33"/>
        <v>7</v>
      </c>
      <c r="AX220">
        <f t="shared" si="34"/>
        <v>7</v>
      </c>
      <c r="AY220">
        <f t="shared" si="35"/>
        <v>7</v>
      </c>
    </row>
    <row r="221" spans="38:51" x14ac:dyDescent="0.35">
      <c r="AL221" s="19" t="s">
        <v>289</v>
      </c>
      <c r="AM221">
        <f t="shared" si="23"/>
        <v>7</v>
      </c>
      <c r="AN221">
        <f t="shared" si="24"/>
        <v>7</v>
      </c>
      <c r="AO221">
        <f t="shared" si="25"/>
        <v>7</v>
      </c>
      <c r="AP221">
        <f t="shared" si="26"/>
        <v>5</v>
      </c>
      <c r="AQ221">
        <f t="shared" si="27"/>
        <v>7</v>
      </c>
      <c r="AR221">
        <f t="shared" si="28"/>
        <v>7</v>
      </c>
      <c r="AS221">
        <f t="shared" si="29"/>
        <v>7</v>
      </c>
      <c r="AT221">
        <f t="shared" si="30"/>
        <v>7</v>
      </c>
      <c r="AU221">
        <f t="shared" si="31"/>
        <v>7</v>
      </c>
      <c r="AV221">
        <f t="shared" si="32"/>
        <v>7</v>
      </c>
      <c r="AW221">
        <f t="shared" si="33"/>
        <v>7</v>
      </c>
      <c r="AX221">
        <f t="shared" si="34"/>
        <v>7</v>
      </c>
      <c r="AY221">
        <f t="shared" si="35"/>
        <v>7</v>
      </c>
    </row>
    <row r="222" spans="38:51" x14ac:dyDescent="0.35">
      <c r="AL222" s="19" t="s">
        <v>125</v>
      </c>
      <c r="AM222">
        <f t="shared" si="23"/>
        <v>7</v>
      </c>
      <c r="AN222">
        <f t="shared" si="24"/>
        <v>7</v>
      </c>
      <c r="AO222">
        <f t="shared" si="25"/>
        <v>5</v>
      </c>
      <c r="AP222">
        <f t="shared" si="26"/>
        <v>3</v>
      </c>
      <c r="AQ222">
        <f t="shared" si="27"/>
        <v>6</v>
      </c>
      <c r="AR222">
        <f t="shared" si="28"/>
        <v>7</v>
      </c>
      <c r="AS222">
        <f t="shared" si="29"/>
        <v>6</v>
      </c>
      <c r="AT222">
        <f t="shared" si="30"/>
        <v>7</v>
      </c>
      <c r="AU222">
        <f t="shared" si="31"/>
        <v>3</v>
      </c>
      <c r="AV222">
        <f t="shared" si="32"/>
        <v>7</v>
      </c>
      <c r="AW222">
        <f t="shared" si="33"/>
        <v>7</v>
      </c>
      <c r="AX222">
        <f t="shared" si="34"/>
        <v>7</v>
      </c>
      <c r="AY222">
        <f t="shared" si="35"/>
        <v>7</v>
      </c>
    </row>
    <row r="223" spans="38:51" x14ac:dyDescent="0.35">
      <c r="AL223" s="19" t="s">
        <v>126</v>
      </c>
      <c r="AM223">
        <f t="shared" si="23"/>
        <v>7</v>
      </c>
      <c r="AN223">
        <f t="shared" si="24"/>
        <v>7</v>
      </c>
      <c r="AO223">
        <f t="shared" si="25"/>
        <v>7</v>
      </c>
      <c r="AP223">
        <f t="shared" si="26"/>
        <v>6</v>
      </c>
      <c r="AQ223">
        <f t="shared" si="27"/>
        <v>7</v>
      </c>
      <c r="AR223">
        <f t="shared" si="28"/>
        <v>7</v>
      </c>
      <c r="AS223">
        <f t="shared" si="29"/>
        <v>7</v>
      </c>
      <c r="AT223">
        <f t="shared" si="30"/>
        <v>7</v>
      </c>
      <c r="AU223">
        <f t="shared" si="31"/>
        <v>6</v>
      </c>
      <c r="AV223">
        <f t="shared" si="32"/>
        <v>7</v>
      </c>
      <c r="AW223">
        <f t="shared" si="33"/>
        <v>7</v>
      </c>
      <c r="AX223">
        <f t="shared" si="34"/>
        <v>7</v>
      </c>
      <c r="AY223">
        <f t="shared" si="35"/>
        <v>7</v>
      </c>
    </row>
    <row r="224" spans="38:51" x14ac:dyDescent="0.35">
      <c r="AL224" s="19" t="s">
        <v>127</v>
      </c>
      <c r="AM224">
        <f t="shared" si="23"/>
        <v>7</v>
      </c>
      <c r="AN224">
        <f t="shared" si="24"/>
        <v>7</v>
      </c>
      <c r="AO224">
        <f t="shared" si="25"/>
        <v>7</v>
      </c>
      <c r="AP224">
        <f t="shared" si="26"/>
        <v>4</v>
      </c>
      <c r="AQ224">
        <f t="shared" si="27"/>
        <v>5</v>
      </c>
      <c r="AR224">
        <f t="shared" si="28"/>
        <v>7</v>
      </c>
      <c r="AS224">
        <f t="shared" si="29"/>
        <v>7</v>
      </c>
      <c r="AT224">
        <f t="shared" si="30"/>
        <v>7</v>
      </c>
      <c r="AU224">
        <f t="shared" si="31"/>
        <v>6</v>
      </c>
      <c r="AV224">
        <f t="shared" si="32"/>
        <v>7</v>
      </c>
      <c r="AW224">
        <f t="shared" si="33"/>
        <v>7</v>
      </c>
      <c r="AX224">
        <f t="shared" si="34"/>
        <v>7</v>
      </c>
      <c r="AY224">
        <f t="shared" si="35"/>
        <v>7</v>
      </c>
    </row>
    <row r="225" spans="38:51" x14ac:dyDescent="0.35">
      <c r="AL225" s="19" t="s">
        <v>128</v>
      </c>
      <c r="AM225">
        <f t="shared" si="23"/>
        <v>7</v>
      </c>
      <c r="AN225">
        <f t="shared" si="24"/>
        <v>7</v>
      </c>
      <c r="AO225">
        <f t="shared" si="25"/>
        <v>7</v>
      </c>
      <c r="AP225">
        <f t="shared" si="26"/>
        <v>7</v>
      </c>
      <c r="AQ225">
        <f t="shared" si="27"/>
        <v>7</v>
      </c>
      <c r="AR225">
        <f t="shared" si="28"/>
        <v>7</v>
      </c>
      <c r="AS225">
        <f t="shared" si="29"/>
        <v>7</v>
      </c>
      <c r="AT225">
        <f t="shared" si="30"/>
        <v>7</v>
      </c>
      <c r="AU225">
        <f t="shared" si="31"/>
        <v>7</v>
      </c>
      <c r="AV225">
        <f t="shared" si="32"/>
        <v>7</v>
      </c>
      <c r="AW225">
        <f t="shared" si="33"/>
        <v>7</v>
      </c>
      <c r="AX225">
        <f t="shared" si="34"/>
        <v>7</v>
      </c>
      <c r="AY225">
        <f t="shared" si="35"/>
        <v>7</v>
      </c>
    </row>
    <row r="226" spans="38:51" x14ac:dyDescent="0.35">
      <c r="AL226" s="19" t="s">
        <v>336</v>
      </c>
      <c r="AM226">
        <f t="shared" si="23"/>
        <v>7</v>
      </c>
      <c r="AN226">
        <f t="shared" si="24"/>
        <v>7</v>
      </c>
      <c r="AO226">
        <f t="shared" si="25"/>
        <v>7</v>
      </c>
      <c r="AP226">
        <f t="shared" si="26"/>
        <v>3</v>
      </c>
      <c r="AQ226">
        <f t="shared" si="27"/>
        <v>6</v>
      </c>
      <c r="AR226">
        <f t="shared" si="28"/>
        <v>7</v>
      </c>
      <c r="AS226">
        <f t="shared" si="29"/>
        <v>7</v>
      </c>
      <c r="AT226">
        <f t="shared" si="30"/>
        <v>7</v>
      </c>
      <c r="AU226">
        <f t="shared" si="31"/>
        <v>5</v>
      </c>
      <c r="AV226">
        <f t="shared" si="32"/>
        <v>7</v>
      </c>
      <c r="AW226">
        <f t="shared" si="33"/>
        <v>6</v>
      </c>
      <c r="AX226">
        <f t="shared" si="34"/>
        <v>7</v>
      </c>
      <c r="AY226">
        <f t="shared" si="35"/>
        <v>7</v>
      </c>
    </row>
    <row r="227" spans="38:51" x14ac:dyDescent="0.35">
      <c r="AL227" s="19" t="s">
        <v>129</v>
      </c>
      <c r="AM227">
        <f t="shared" si="23"/>
        <v>7</v>
      </c>
      <c r="AN227">
        <f t="shared" si="24"/>
        <v>7</v>
      </c>
      <c r="AO227">
        <f t="shared" si="25"/>
        <v>7</v>
      </c>
      <c r="AP227">
        <f t="shared" si="26"/>
        <v>5</v>
      </c>
      <c r="AQ227">
        <f t="shared" si="27"/>
        <v>6</v>
      </c>
      <c r="AR227">
        <f t="shared" si="28"/>
        <v>7</v>
      </c>
      <c r="AS227">
        <f t="shared" si="29"/>
        <v>7</v>
      </c>
      <c r="AT227">
        <f t="shared" si="30"/>
        <v>7</v>
      </c>
      <c r="AU227">
        <f t="shared" si="31"/>
        <v>5</v>
      </c>
      <c r="AV227">
        <f t="shared" si="32"/>
        <v>7</v>
      </c>
      <c r="AW227">
        <f t="shared" si="33"/>
        <v>6</v>
      </c>
      <c r="AX227">
        <f t="shared" si="34"/>
        <v>7</v>
      </c>
      <c r="AY227">
        <f t="shared" si="35"/>
        <v>7</v>
      </c>
    </row>
    <row r="228" spans="38:51" x14ac:dyDescent="0.35">
      <c r="AL228" s="19" t="s">
        <v>130</v>
      </c>
      <c r="AM228">
        <f t="shared" si="23"/>
        <v>7</v>
      </c>
      <c r="AN228">
        <f t="shared" si="24"/>
        <v>7</v>
      </c>
      <c r="AO228">
        <f t="shared" si="25"/>
        <v>7</v>
      </c>
      <c r="AP228">
        <f t="shared" si="26"/>
        <v>5</v>
      </c>
      <c r="AQ228">
        <f t="shared" si="27"/>
        <v>7</v>
      </c>
      <c r="AR228">
        <f t="shared" si="28"/>
        <v>7</v>
      </c>
      <c r="AS228">
        <f t="shared" si="29"/>
        <v>7</v>
      </c>
      <c r="AT228">
        <f t="shared" si="30"/>
        <v>7</v>
      </c>
      <c r="AU228">
        <f t="shared" si="31"/>
        <v>5</v>
      </c>
      <c r="AV228">
        <f t="shared" si="32"/>
        <v>7</v>
      </c>
      <c r="AW228">
        <f t="shared" si="33"/>
        <v>7</v>
      </c>
      <c r="AX228">
        <f t="shared" si="34"/>
        <v>7</v>
      </c>
      <c r="AY228">
        <f t="shared" si="35"/>
        <v>7</v>
      </c>
    </row>
    <row r="229" spans="38:51" x14ac:dyDescent="0.35">
      <c r="AL229" s="19" t="s">
        <v>131</v>
      </c>
      <c r="AM229">
        <f t="shared" si="23"/>
        <v>7</v>
      </c>
      <c r="AN229">
        <f t="shared" si="24"/>
        <v>7</v>
      </c>
      <c r="AO229">
        <f t="shared" si="25"/>
        <v>7</v>
      </c>
      <c r="AP229">
        <f t="shared" si="26"/>
        <v>4</v>
      </c>
      <c r="AQ229">
        <f t="shared" si="27"/>
        <v>7</v>
      </c>
      <c r="AR229">
        <f t="shared" si="28"/>
        <v>7</v>
      </c>
      <c r="AS229">
        <f t="shared" si="29"/>
        <v>7</v>
      </c>
      <c r="AT229">
        <f t="shared" si="30"/>
        <v>7</v>
      </c>
      <c r="AU229">
        <f t="shared" si="31"/>
        <v>7</v>
      </c>
      <c r="AV229">
        <f t="shared" si="32"/>
        <v>7</v>
      </c>
      <c r="AW229">
        <f t="shared" si="33"/>
        <v>7</v>
      </c>
      <c r="AX229">
        <f t="shared" si="34"/>
        <v>7</v>
      </c>
      <c r="AY229">
        <f t="shared" si="35"/>
        <v>7</v>
      </c>
    </row>
    <row r="230" spans="38:51" x14ac:dyDescent="0.35">
      <c r="AL230" s="19" t="s">
        <v>132</v>
      </c>
      <c r="AM230">
        <f t="shared" si="23"/>
        <v>2</v>
      </c>
      <c r="AN230">
        <f t="shared" si="24"/>
        <v>1</v>
      </c>
      <c r="AO230">
        <f t="shared" si="25"/>
        <v>0</v>
      </c>
      <c r="AP230">
        <f t="shared" si="26"/>
        <v>0</v>
      </c>
      <c r="AQ230">
        <f t="shared" si="27"/>
        <v>0</v>
      </c>
      <c r="AR230">
        <f t="shared" si="28"/>
        <v>0</v>
      </c>
      <c r="AS230">
        <f t="shared" si="29"/>
        <v>0</v>
      </c>
      <c r="AT230">
        <f t="shared" si="30"/>
        <v>0</v>
      </c>
      <c r="AU230">
        <f t="shared" si="31"/>
        <v>0</v>
      </c>
      <c r="AV230">
        <f t="shared" si="32"/>
        <v>1</v>
      </c>
      <c r="AW230">
        <f t="shared" si="33"/>
        <v>1</v>
      </c>
      <c r="AX230">
        <f t="shared" si="34"/>
        <v>0</v>
      </c>
      <c r="AY230">
        <f t="shared" si="35"/>
        <v>2</v>
      </c>
    </row>
    <row r="231" spans="38:51" x14ac:dyDescent="0.35">
      <c r="AL231" s="19" t="s">
        <v>133</v>
      </c>
      <c r="AM231">
        <f t="shared" si="23"/>
        <v>7</v>
      </c>
      <c r="AN231">
        <f t="shared" si="24"/>
        <v>7</v>
      </c>
      <c r="AO231">
        <f t="shared" si="25"/>
        <v>5</v>
      </c>
      <c r="AP231">
        <f t="shared" si="26"/>
        <v>2</v>
      </c>
      <c r="AQ231">
        <f t="shared" si="27"/>
        <v>4</v>
      </c>
      <c r="AR231">
        <f t="shared" si="28"/>
        <v>7</v>
      </c>
      <c r="AS231">
        <f t="shared" si="29"/>
        <v>7</v>
      </c>
      <c r="AT231">
        <f t="shared" si="30"/>
        <v>7</v>
      </c>
      <c r="AU231">
        <f t="shared" si="31"/>
        <v>2</v>
      </c>
      <c r="AV231">
        <f t="shared" si="32"/>
        <v>7</v>
      </c>
      <c r="AW231">
        <f t="shared" si="33"/>
        <v>7</v>
      </c>
      <c r="AX231">
        <f t="shared" si="34"/>
        <v>7</v>
      </c>
      <c r="AY231">
        <f t="shared" si="35"/>
        <v>7</v>
      </c>
    </row>
    <row r="232" spans="38:51" x14ac:dyDescent="0.35">
      <c r="AL232" s="19" t="s">
        <v>134</v>
      </c>
      <c r="AM232">
        <f t="shared" si="23"/>
        <v>7</v>
      </c>
      <c r="AN232">
        <f t="shared" si="24"/>
        <v>7</v>
      </c>
      <c r="AO232">
        <f t="shared" si="25"/>
        <v>7</v>
      </c>
      <c r="AP232">
        <f t="shared" si="26"/>
        <v>6</v>
      </c>
      <c r="AQ232">
        <f t="shared" si="27"/>
        <v>7</v>
      </c>
      <c r="AR232">
        <f t="shared" si="28"/>
        <v>7</v>
      </c>
      <c r="AS232">
        <f t="shared" si="29"/>
        <v>7</v>
      </c>
      <c r="AT232">
        <f t="shared" si="30"/>
        <v>7</v>
      </c>
      <c r="AU232">
        <f t="shared" si="31"/>
        <v>2</v>
      </c>
      <c r="AV232">
        <f t="shared" si="32"/>
        <v>7</v>
      </c>
      <c r="AW232">
        <f t="shared" si="33"/>
        <v>7</v>
      </c>
      <c r="AX232">
        <f t="shared" si="34"/>
        <v>7</v>
      </c>
      <c r="AY232">
        <f t="shared" si="35"/>
        <v>7</v>
      </c>
    </row>
    <row r="233" spans="38:51" x14ac:dyDescent="0.35">
      <c r="AL233" s="19" t="s">
        <v>135</v>
      </c>
      <c r="AM233">
        <f t="shared" si="23"/>
        <v>7</v>
      </c>
      <c r="AN233">
        <f t="shared" si="24"/>
        <v>6</v>
      </c>
      <c r="AO233">
        <f t="shared" si="25"/>
        <v>7</v>
      </c>
      <c r="AP233">
        <f t="shared" si="26"/>
        <v>3</v>
      </c>
      <c r="AQ233">
        <f t="shared" si="27"/>
        <v>6</v>
      </c>
      <c r="AR233">
        <f t="shared" si="28"/>
        <v>7</v>
      </c>
      <c r="AS233">
        <f t="shared" si="29"/>
        <v>5</v>
      </c>
      <c r="AT233">
        <f t="shared" si="30"/>
        <v>4</v>
      </c>
      <c r="AU233">
        <f t="shared" si="31"/>
        <v>0</v>
      </c>
      <c r="AV233">
        <f t="shared" si="32"/>
        <v>7</v>
      </c>
      <c r="AW233">
        <f t="shared" si="33"/>
        <v>6</v>
      </c>
      <c r="AX233">
        <f t="shared" si="34"/>
        <v>5</v>
      </c>
      <c r="AY233">
        <f t="shared" si="35"/>
        <v>4</v>
      </c>
    </row>
    <row r="234" spans="38:51" x14ac:dyDescent="0.35">
      <c r="AL234" s="19" t="s">
        <v>291</v>
      </c>
      <c r="AM234">
        <f t="shared" si="23"/>
        <v>7</v>
      </c>
      <c r="AN234">
        <f t="shared" si="24"/>
        <v>7</v>
      </c>
      <c r="AO234">
        <f t="shared" si="25"/>
        <v>7</v>
      </c>
      <c r="AP234">
        <f t="shared" si="26"/>
        <v>5</v>
      </c>
      <c r="AQ234">
        <f t="shared" si="27"/>
        <v>7</v>
      </c>
      <c r="AR234">
        <f t="shared" si="28"/>
        <v>7</v>
      </c>
      <c r="AS234">
        <f t="shared" si="29"/>
        <v>7</v>
      </c>
      <c r="AT234">
        <f t="shared" si="30"/>
        <v>7</v>
      </c>
      <c r="AU234">
        <f t="shared" si="31"/>
        <v>7</v>
      </c>
      <c r="AV234">
        <f t="shared" si="32"/>
        <v>7</v>
      </c>
      <c r="AW234">
        <f t="shared" si="33"/>
        <v>7</v>
      </c>
      <c r="AX234">
        <f t="shared" si="34"/>
        <v>7</v>
      </c>
      <c r="AY234">
        <f t="shared" si="35"/>
        <v>7</v>
      </c>
    </row>
    <row r="235" spans="38:51" x14ac:dyDescent="0.35">
      <c r="AL235" s="19" t="s">
        <v>136</v>
      </c>
      <c r="AM235">
        <f t="shared" si="23"/>
        <v>7</v>
      </c>
      <c r="AN235">
        <f t="shared" si="24"/>
        <v>6</v>
      </c>
      <c r="AO235">
        <f t="shared" si="25"/>
        <v>0</v>
      </c>
      <c r="AP235">
        <f t="shared" si="26"/>
        <v>0</v>
      </c>
      <c r="AQ235">
        <f t="shared" si="27"/>
        <v>1</v>
      </c>
      <c r="AR235">
        <f t="shared" si="28"/>
        <v>6</v>
      </c>
      <c r="AS235">
        <f t="shared" si="29"/>
        <v>5</v>
      </c>
      <c r="AT235">
        <f t="shared" si="30"/>
        <v>5</v>
      </c>
      <c r="AU235">
        <f t="shared" si="31"/>
        <v>0</v>
      </c>
      <c r="AV235">
        <f t="shared" si="32"/>
        <v>7</v>
      </c>
      <c r="AW235">
        <f t="shared" si="33"/>
        <v>7</v>
      </c>
      <c r="AX235">
        <f t="shared" si="34"/>
        <v>7</v>
      </c>
      <c r="AY235">
        <f t="shared" si="35"/>
        <v>7</v>
      </c>
    </row>
    <row r="236" spans="38:51" x14ac:dyDescent="0.35">
      <c r="AL236" s="19" t="s">
        <v>281</v>
      </c>
      <c r="AM236">
        <f t="shared" si="23"/>
        <v>4</v>
      </c>
      <c r="AN236">
        <f t="shared" si="24"/>
        <v>7</v>
      </c>
      <c r="AO236">
        <f t="shared" si="25"/>
        <v>5</v>
      </c>
      <c r="AP236">
        <f t="shared" si="26"/>
        <v>1</v>
      </c>
      <c r="AQ236">
        <f t="shared" si="27"/>
        <v>0</v>
      </c>
      <c r="AR236">
        <f t="shared" si="28"/>
        <v>5</v>
      </c>
      <c r="AS236">
        <f t="shared" si="29"/>
        <v>6</v>
      </c>
      <c r="AT236">
        <f t="shared" si="30"/>
        <v>4</v>
      </c>
      <c r="AU236">
        <f t="shared" si="31"/>
        <v>0</v>
      </c>
      <c r="AV236">
        <f t="shared" si="32"/>
        <v>6</v>
      </c>
      <c r="AW236">
        <f t="shared" si="33"/>
        <v>5</v>
      </c>
      <c r="AX236">
        <f t="shared" si="34"/>
        <v>3</v>
      </c>
      <c r="AY236">
        <f t="shared" si="35"/>
        <v>4</v>
      </c>
    </row>
    <row r="237" spans="38:51" x14ac:dyDescent="0.35">
      <c r="AL237" s="19" t="s">
        <v>137</v>
      </c>
      <c r="AM237">
        <f t="shared" si="23"/>
        <v>4</v>
      </c>
      <c r="AN237">
        <f t="shared" si="24"/>
        <v>6</v>
      </c>
      <c r="AO237">
        <f t="shared" si="25"/>
        <v>6</v>
      </c>
      <c r="AP237">
        <f t="shared" si="26"/>
        <v>1</v>
      </c>
      <c r="AQ237">
        <f t="shared" si="27"/>
        <v>2</v>
      </c>
      <c r="AR237">
        <f t="shared" si="28"/>
        <v>3</v>
      </c>
      <c r="AS237">
        <f t="shared" si="29"/>
        <v>5</v>
      </c>
      <c r="AT237">
        <f t="shared" si="30"/>
        <v>5</v>
      </c>
      <c r="AU237">
        <f t="shared" si="31"/>
        <v>2</v>
      </c>
      <c r="AV237">
        <f t="shared" si="32"/>
        <v>6</v>
      </c>
      <c r="AW237">
        <f t="shared" si="33"/>
        <v>5</v>
      </c>
      <c r="AX237">
        <f t="shared" si="34"/>
        <v>6</v>
      </c>
      <c r="AY237">
        <f t="shared" si="35"/>
        <v>6</v>
      </c>
    </row>
    <row r="238" spans="38:51" x14ac:dyDescent="0.35">
      <c r="AL238" s="19" t="s">
        <v>138</v>
      </c>
      <c r="AM238">
        <f t="shared" si="23"/>
        <v>7</v>
      </c>
      <c r="AN238">
        <f t="shared" si="24"/>
        <v>7</v>
      </c>
      <c r="AO238">
        <f t="shared" si="25"/>
        <v>7</v>
      </c>
      <c r="AP238">
        <f t="shared" si="26"/>
        <v>4</v>
      </c>
      <c r="AQ238">
        <f t="shared" si="27"/>
        <v>6</v>
      </c>
      <c r="AR238">
        <f t="shared" si="28"/>
        <v>7</v>
      </c>
      <c r="AS238">
        <f t="shared" si="29"/>
        <v>7</v>
      </c>
      <c r="AT238">
        <f t="shared" si="30"/>
        <v>7</v>
      </c>
      <c r="AU238">
        <f t="shared" si="31"/>
        <v>7</v>
      </c>
      <c r="AV238">
        <f t="shared" si="32"/>
        <v>7</v>
      </c>
      <c r="AW238">
        <f t="shared" si="33"/>
        <v>7</v>
      </c>
      <c r="AX238">
        <f t="shared" si="34"/>
        <v>7</v>
      </c>
      <c r="AY238">
        <f t="shared" si="35"/>
        <v>7</v>
      </c>
    </row>
    <row r="239" spans="38:51" x14ac:dyDescent="0.35">
      <c r="AL239" s="19" t="s">
        <v>139</v>
      </c>
      <c r="AM239">
        <f t="shared" si="23"/>
        <v>7</v>
      </c>
      <c r="AN239">
        <f t="shared" si="24"/>
        <v>7</v>
      </c>
      <c r="AO239">
        <f t="shared" si="25"/>
        <v>7</v>
      </c>
      <c r="AP239">
        <f t="shared" si="26"/>
        <v>6</v>
      </c>
      <c r="AQ239">
        <f t="shared" si="27"/>
        <v>7</v>
      </c>
      <c r="AR239">
        <f t="shared" si="28"/>
        <v>7</v>
      </c>
      <c r="AS239">
        <f t="shared" si="29"/>
        <v>7</v>
      </c>
      <c r="AT239">
        <f t="shared" si="30"/>
        <v>7</v>
      </c>
      <c r="AU239">
        <f t="shared" si="31"/>
        <v>7</v>
      </c>
      <c r="AV239">
        <f t="shared" si="32"/>
        <v>7</v>
      </c>
      <c r="AW239">
        <f t="shared" si="33"/>
        <v>7</v>
      </c>
      <c r="AX239">
        <f t="shared" si="34"/>
        <v>7</v>
      </c>
      <c r="AY239">
        <f t="shared" si="35"/>
        <v>7</v>
      </c>
    </row>
    <row r="240" spans="38:51" x14ac:dyDescent="0.35">
      <c r="AL240" s="19" t="s">
        <v>140</v>
      </c>
      <c r="AM240">
        <f t="shared" si="23"/>
        <v>7</v>
      </c>
      <c r="AN240">
        <f t="shared" si="24"/>
        <v>7</v>
      </c>
      <c r="AO240">
        <f t="shared" si="25"/>
        <v>7</v>
      </c>
      <c r="AP240">
        <f t="shared" si="26"/>
        <v>7</v>
      </c>
      <c r="AQ240">
        <f t="shared" si="27"/>
        <v>7</v>
      </c>
      <c r="AR240">
        <f t="shared" si="28"/>
        <v>7</v>
      </c>
      <c r="AS240">
        <f t="shared" si="29"/>
        <v>7</v>
      </c>
      <c r="AT240">
        <f t="shared" si="30"/>
        <v>7</v>
      </c>
      <c r="AU240">
        <f t="shared" si="31"/>
        <v>7</v>
      </c>
      <c r="AV240">
        <f t="shared" si="32"/>
        <v>7</v>
      </c>
      <c r="AW240">
        <f t="shared" si="33"/>
        <v>7</v>
      </c>
      <c r="AX240">
        <f t="shared" si="34"/>
        <v>7</v>
      </c>
      <c r="AY240">
        <f t="shared" si="35"/>
        <v>7</v>
      </c>
    </row>
    <row r="241" spans="38:51" x14ac:dyDescent="0.35">
      <c r="AL241" s="19" t="s">
        <v>141</v>
      </c>
      <c r="AM241">
        <f t="shared" si="23"/>
        <v>7</v>
      </c>
      <c r="AN241">
        <f t="shared" si="24"/>
        <v>7</v>
      </c>
      <c r="AO241">
        <f t="shared" si="25"/>
        <v>7</v>
      </c>
      <c r="AP241">
        <f t="shared" si="26"/>
        <v>4</v>
      </c>
      <c r="AQ241">
        <f t="shared" si="27"/>
        <v>5</v>
      </c>
      <c r="AR241">
        <f t="shared" si="28"/>
        <v>7</v>
      </c>
      <c r="AS241">
        <f t="shared" si="29"/>
        <v>7</v>
      </c>
      <c r="AT241">
        <f t="shared" si="30"/>
        <v>7</v>
      </c>
      <c r="AU241">
        <f t="shared" si="31"/>
        <v>7</v>
      </c>
      <c r="AV241">
        <f t="shared" si="32"/>
        <v>7</v>
      </c>
      <c r="AW241">
        <f t="shared" si="33"/>
        <v>7</v>
      </c>
      <c r="AX241">
        <f t="shared" si="34"/>
        <v>7</v>
      </c>
      <c r="AY241">
        <f t="shared" si="35"/>
        <v>7</v>
      </c>
    </row>
    <row r="242" spans="38:51" x14ac:dyDescent="0.35">
      <c r="AL242" s="19" t="s">
        <v>142</v>
      </c>
      <c r="AM242">
        <f t="shared" si="23"/>
        <v>7</v>
      </c>
      <c r="AN242">
        <f t="shared" si="24"/>
        <v>7</v>
      </c>
      <c r="AO242">
        <f t="shared" si="25"/>
        <v>7</v>
      </c>
      <c r="AP242">
        <f t="shared" si="26"/>
        <v>7</v>
      </c>
      <c r="AQ242">
        <f t="shared" si="27"/>
        <v>7</v>
      </c>
      <c r="AR242">
        <f t="shared" si="28"/>
        <v>7</v>
      </c>
      <c r="AS242">
        <f t="shared" si="29"/>
        <v>7</v>
      </c>
      <c r="AT242">
        <f t="shared" si="30"/>
        <v>7</v>
      </c>
      <c r="AU242">
        <f t="shared" si="31"/>
        <v>7</v>
      </c>
      <c r="AV242">
        <f t="shared" si="32"/>
        <v>7</v>
      </c>
      <c r="AW242">
        <f t="shared" si="33"/>
        <v>7</v>
      </c>
      <c r="AX242">
        <f t="shared" si="34"/>
        <v>7</v>
      </c>
      <c r="AY242">
        <f t="shared" si="35"/>
        <v>7</v>
      </c>
    </row>
    <row r="243" spans="38:51" x14ac:dyDescent="0.35">
      <c r="AL243" s="19" t="s">
        <v>143</v>
      </c>
      <c r="AM243">
        <f t="shared" si="23"/>
        <v>7</v>
      </c>
      <c r="AN243">
        <f t="shared" si="24"/>
        <v>7</v>
      </c>
      <c r="AO243">
        <f t="shared" si="25"/>
        <v>7</v>
      </c>
      <c r="AP243">
        <f t="shared" si="26"/>
        <v>6</v>
      </c>
      <c r="AQ243">
        <f t="shared" si="27"/>
        <v>7</v>
      </c>
      <c r="AR243">
        <f t="shared" si="28"/>
        <v>7</v>
      </c>
      <c r="AS243">
        <f t="shared" si="29"/>
        <v>7</v>
      </c>
      <c r="AT243">
        <f t="shared" si="30"/>
        <v>7</v>
      </c>
      <c r="AU243">
        <f t="shared" si="31"/>
        <v>7</v>
      </c>
      <c r="AV243">
        <f t="shared" si="32"/>
        <v>7</v>
      </c>
      <c r="AW243">
        <f t="shared" si="33"/>
        <v>7</v>
      </c>
      <c r="AX243">
        <f t="shared" si="34"/>
        <v>7</v>
      </c>
      <c r="AY243">
        <f t="shared" si="35"/>
        <v>7</v>
      </c>
    </row>
    <row r="244" spans="38:51" x14ac:dyDescent="0.35">
      <c r="AL244" s="19" t="s">
        <v>144</v>
      </c>
      <c r="AM244">
        <f t="shared" si="23"/>
        <v>7</v>
      </c>
      <c r="AN244">
        <f t="shared" si="24"/>
        <v>7</v>
      </c>
      <c r="AO244">
        <f t="shared" si="25"/>
        <v>7</v>
      </c>
      <c r="AP244">
        <f t="shared" si="26"/>
        <v>3</v>
      </c>
      <c r="AQ244">
        <f t="shared" si="27"/>
        <v>6</v>
      </c>
      <c r="AR244">
        <f t="shared" si="28"/>
        <v>7</v>
      </c>
      <c r="AS244">
        <f t="shared" si="29"/>
        <v>7</v>
      </c>
      <c r="AT244">
        <f t="shared" si="30"/>
        <v>7</v>
      </c>
      <c r="AU244">
        <f t="shared" si="31"/>
        <v>5</v>
      </c>
      <c r="AV244">
        <f t="shared" si="32"/>
        <v>7</v>
      </c>
      <c r="AW244">
        <f t="shared" si="33"/>
        <v>7</v>
      </c>
      <c r="AX244">
        <f t="shared" si="34"/>
        <v>7</v>
      </c>
      <c r="AY244">
        <f t="shared" si="35"/>
        <v>7</v>
      </c>
    </row>
    <row r="245" spans="38:51" x14ac:dyDescent="0.35">
      <c r="AL245" s="19" t="s">
        <v>145</v>
      </c>
      <c r="AM245">
        <f t="shared" si="23"/>
        <v>7</v>
      </c>
      <c r="AN245">
        <f t="shared" si="24"/>
        <v>7</v>
      </c>
      <c r="AO245">
        <f t="shared" si="25"/>
        <v>7</v>
      </c>
      <c r="AP245">
        <f t="shared" si="26"/>
        <v>7</v>
      </c>
      <c r="AQ245">
        <f t="shared" si="27"/>
        <v>7</v>
      </c>
      <c r="AR245">
        <f t="shared" si="28"/>
        <v>7</v>
      </c>
      <c r="AS245">
        <f t="shared" si="29"/>
        <v>7</v>
      </c>
      <c r="AT245">
        <f t="shared" si="30"/>
        <v>7</v>
      </c>
      <c r="AU245">
        <f t="shared" si="31"/>
        <v>7</v>
      </c>
      <c r="AV245">
        <f t="shared" si="32"/>
        <v>7</v>
      </c>
      <c r="AW245">
        <f t="shared" si="33"/>
        <v>7</v>
      </c>
      <c r="AX245">
        <f t="shared" si="34"/>
        <v>5</v>
      </c>
      <c r="AY245">
        <f t="shared" si="35"/>
        <v>7</v>
      </c>
    </row>
    <row r="246" spans="38:51" x14ac:dyDescent="0.35">
      <c r="AL246" s="19" t="s">
        <v>146</v>
      </c>
      <c r="AM246">
        <f t="shared" si="23"/>
        <v>1</v>
      </c>
      <c r="AN246">
        <f t="shared" si="24"/>
        <v>5</v>
      </c>
      <c r="AO246">
        <f t="shared" si="25"/>
        <v>2</v>
      </c>
      <c r="AP246">
        <f t="shared" si="26"/>
        <v>0</v>
      </c>
      <c r="AQ246">
        <f t="shared" si="27"/>
        <v>0</v>
      </c>
      <c r="AR246">
        <f t="shared" si="28"/>
        <v>0</v>
      </c>
      <c r="AS246">
        <f t="shared" si="29"/>
        <v>5</v>
      </c>
      <c r="AT246">
        <f t="shared" si="30"/>
        <v>5</v>
      </c>
      <c r="AU246">
        <f t="shared" si="31"/>
        <v>0</v>
      </c>
      <c r="AV246">
        <f t="shared" si="32"/>
        <v>5</v>
      </c>
      <c r="AW246">
        <f t="shared" si="33"/>
        <v>3</v>
      </c>
      <c r="AX246">
        <f t="shared" si="34"/>
        <v>2</v>
      </c>
      <c r="AY246">
        <f t="shared" si="35"/>
        <v>4</v>
      </c>
    </row>
    <row r="247" spans="38:51" x14ac:dyDescent="0.35">
      <c r="AL247" s="19" t="s">
        <v>147</v>
      </c>
      <c r="AM247">
        <f t="shared" si="23"/>
        <v>7</v>
      </c>
      <c r="AN247">
        <f t="shared" si="24"/>
        <v>7</v>
      </c>
      <c r="AO247">
        <f t="shared" si="25"/>
        <v>7</v>
      </c>
      <c r="AP247">
        <f t="shared" si="26"/>
        <v>6</v>
      </c>
      <c r="AQ247">
        <f t="shared" si="27"/>
        <v>7</v>
      </c>
      <c r="AR247">
        <f t="shared" si="28"/>
        <v>7</v>
      </c>
      <c r="AS247">
        <f t="shared" si="29"/>
        <v>7</v>
      </c>
      <c r="AT247">
        <f t="shared" si="30"/>
        <v>7</v>
      </c>
      <c r="AU247">
        <f t="shared" si="31"/>
        <v>7</v>
      </c>
      <c r="AV247">
        <f t="shared" si="32"/>
        <v>7</v>
      </c>
      <c r="AW247">
        <f t="shared" si="33"/>
        <v>7</v>
      </c>
      <c r="AX247">
        <f t="shared" si="34"/>
        <v>7</v>
      </c>
      <c r="AY247">
        <f t="shared" si="35"/>
        <v>7</v>
      </c>
    </row>
    <row r="248" spans="38:51" x14ac:dyDescent="0.35">
      <c r="AL248" s="19" t="s">
        <v>257</v>
      </c>
      <c r="AM248">
        <f t="shared" si="23"/>
        <v>7</v>
      </c>
      <c r="AN248">
        <f t="shared" si="24"/>
        <v>7</v>
      </c>
      <c r="AO248">
        <f t="shared" si="25"/>
        <v>7</v>
      </c>
      <c r="AP248">
        <f t="shared" si="26"/>
        <v>7</v>
      </c>
      <c r="AQ248">
        <f t="shared" si="27"/>
        <v>7</v>
      </c>
      <c r="AR248">
        <f t="shared" si="28"/>
        <v>7</v>
      </c>
      <c r="AS248">
        <f t="shared" si="29"/>
        <v>7</v>
      </c>
      <c r="AT248">
        <f t="shared" si="30"/>
        <v>7</v>
      </c>
      <c r="AU248">
        <f t="shared" si="31"/>
        <v>7</v>
      </c>
      <c r="AV248">
        <f t="shared" si="32"/>
        <v>7</v>
      </c>
      <c r="AW248">
        <f t="shared" si="33"/>
        <v>7</v>
      </c>
      <c r="AX248">
        <f t="shared" si="34"/>
        <v>7</v>
      </c>
      <c r="AY248">
        <f t="shared" si="35"/>
        <v>7</v>
      </c>
    </row>
    <row r="249" spans="38:51" x14ac:dyDescent="0.35">
      <c r="AL249" s="19" t="s">
        <v>148</v>
      </c>
      <c r="AM249">
        <f t="shared" si="23"/>
        <v>7</v>
      </c>
      <c r="AN249">
        <f t="shared" si="24"/>
        <v>7</v>
      </c>
      <c r="AO249">
        <f t="shared" si="25"/>
        <v>7</v>
      </c>
      <c r="AP249">
        <f t="shared" si="26"/>
        <v>5</v>
      </c>
      <c r="AQ249">
        <f t="shared" si="27"/>
        <v>7</v>
      </c>
      <c r="AR249">
        <f t="shared" si="28"/>
        <v>7</v>
      </c>
      <c r="AS249">
        <f t="shared" si="29"/>
        <v>7</v>
      </c>
      <c r="AT249">
        <f t="shared" si="30"/>
        <v>7</v>
      </c>
      <c r="AU249">
        <f t="shared" si="31"/>
        <v>7</v>
      </c>
      <c r="AV249">
        <f t="shared" si="32"/>
        <v>7</v>
      </c>
      <c r="AW249">
        <f t="shared" si="33"/>
        <v>6</v>
      </c>
      <c r="AX249">
        <f t="shared" si="34"/>
        <v>7</v>
      </c>
      <c r="AY249">
        <f t="shared" si="35"/>
        <v>7</v>
      </c>
    </row>
    <row r="250" spans="38:51" x14ac:dyDescent="0.35">
      <c r="AL250" s="19" t="s">
        <v>149</v>
      </c>
      <c r="AM250">
        <f t="shared" si="23"/>
        <v>7</v>
      </c>
      <c r="AN250">
        <f t="shared" si="24"/>
        <v>7</v>
      </c>
      <c r="AO250">
        <f t="shared" si="25"/>
        <v>7</v>
      </c>
      <c r="AP250">
        <f t="shared" si="26"/>
        <v>4</v>
      </c>
      <c r="AQ250">
        <f t="shared" si="27"/>
        <v>2</v>
      </c>
      <c r="AR250">
        <f t="shared" si="28"/>
        <v>7</v>
      </c>
      <c r="AS250">
        <f t="shared" si="29"/>
        <v>7</v>
      </c>
      <c r="AT250">
        <f t="shared" si="30"/>
        <v>7</v>
      </c>
      <c r="AU250">
        <f t="shared" si="31"/>
        <v>2</v>
      </c>
      <c r="AV250">
        <f t="shared" si="32"/>
        <v>7</v>
      </c>
      <c r="AW250">
        <f t="shared" si="33"/>
        <v>7</v>
      </c>
      <c r="AX250">
        <f t="shared" si="34"/>
        <v>7</v>
      </c>
      <c r="AY250">
        <f t="shared" si="35"/>
        <v>7</v>
      </c>
    </row>
    <row r="251" spans="38:51" x14ac:dyDescent="0.35">
      <c r="AL251" s="19" t="s">
        <v>150</v>
      </c>
      <c r="AM251">
        <f t="shared" si="23"/>
        <v>7</v>
      </c>
      <c r="AN251">
        <f t="shared" si="24"/>
        <v>7</v>
      </c>
      <c r="AO251">
        <f t="shared" si="25"/>
        <v>6</v>
      </c>
      <c r="AP251">
        <f t="shared" si="26"/>
        <v>5</v>
      </c>
      <c r="AQ251">
        <f t="shared" si="27"/>
        <v>7</v>
      </c>
      <c r="AR251">
        <f t="shared" si="28"/>
        <v>7</v>
      </c>
      <c r="AS251">
        <f t="shared" si="29"/>
        <v>7</v>
      </c>
      <c r="AT251">
        <f t="shared" si="30"/>
        <v>7</v>
      </c>
      <c r="AU251">
        <f t="shared" si="31"/>
        <v>6</v>
      </c>
      <c r="AV251">
        <f t="shared" si="32"/>
        <v>7</v>
      </c>
      <c r="AW251">
        <f t="shared" si="33"/>
        <v>7</v>
      </c>
      <c r="AX251">
        <f t="shared" si="34"/>
        <v>7</v>
      </c>
      <c r="AY251">
        <f t="shared" si="35"/>
        <v>7</v>
      </c>
    </row>
    <row r="252" spans="38:51" x14ac:dyDescent="0.35">
      <c r="AL252" s="19" t="s">
        <v>151</v>
      </c>
      <c r="AM252">
        <f t="shared" si="23"/>
        <v>7</v>
      </c>
      <c r="AN252">
        <f t="shared" si="24"/>
        <v>7</v>
      </c>
      <c r="AO252">
        <f t="shared" si="25"/>
        <v>7</v>
      </c>
      <c r="AP252">
        <f t="shared" si="26"/>
        <v>5</v>
      </c>
      <c r="AQ252">
        <f t="shared" si="27"/>
        <v>5</v>
      </c>
      <c r="AR252">
        <f t="shared" si="28"/>
        <v>7</v>
      </c>
      <c r="AS252">
        <f t="shared" si="29"/>
        <v>7</v>
      </c>
      <c r="AT252">
        <f t="shared" si="30"/>
        <v>7</v>
      </c>
      <c r="AU252">
        <f t="shared" si="31"/>
        <v>0</v>
      </c>
      <c r="AV252">
        <f t="shared" si="32"/>
        <v>7</v>
      </c>
      <c r="AW252">
        <f t="shared" si="33"/>
        <v>7</v>
      </c>
      <c r="AX252">
        <f t="shared" si="34"/>
        <v>7</v>
      </c>
      <c r="AY252">
        <f t="shared" si="35"/>
        <v>7</v>
      </c>
    </row>
    <row r="253" spans="38:51" x14ac:dyDescent="0.35">
      <c r="AL253" s="19" t="s">
        <v>152</v>
      </c>
      <c r="AM253">
        <f t="shared" si="23"/>
        <v>7</v>
      </c>
      <c r="AN253">
        <f t="shared" si="24"/>
        <v>7</v>
      </c>
      <c r="AO253">
        <f t="shared" si="25"/>
        <v>7</v>
      </c>
      <c r="AP253">
        <f t="shared" si="26"/>
        <v>7</v>
      </c>
      <c r="AQ253">
        <f t="shared" si="27"/>
        <v>7</v>
      </c>
      <c r="AR253">
        <f t="shared" si="28"/>
        <v>7</v>
      </c>
      <c r="AS253">
        <f t="shared" si="29"/>
        <v>7</v>
      </c>
      <c r="AT253">
        <f t="shared" si="30"/>
        <v>7</v>
      </c>
      <c r="AU253">
        <f t="shared" si="31"/>
        <v>7</v>
      </c>
      <c r="AV253">
        <f t="shared" si="32"/>
        <v>7</v>
      </c>
      <c r="AW253">
        <f t="shared" si="33"/>
        <v>7</v>
      </c>
      <c r="AX253">
        <f t="shared" si="34"/>
        <v>7</v>
      </c>
      <c r="AY253">
        <f t="shared" si="35"/>
        <v>7</v>
      </c>
    </row>
    <row r="254" spans="38:51" x14ac:dyDescent="0.35">
      <c r="AL254" s="19" t="s">
        <v>153</v>
      </c>
      <c r="AM254">
        <f t="shared" si="23"/>
        <v>7</v>
      </c>
      <c r="AN254">
        <f t="shared" si="24"/>
        <v>7</v>
      </c>
      <c r="AO254">
        <f t="shared" si="25"/>
        <v>7</v>
      </c>
      <c r="AP254">
        <f t="shared" si="26"/>
        <v>5</v>
      </c>
      <c r="AQ254">
        <f t="shared" si="27"/>
        <v>7</v>
      </c>
      <c r="AR254">
        <f t="shared" si="28"/>
        <v>7</v>
      </c>
      <c r="AS254">
        <f t="shared" si="29"/>
        <v>7</v>
      </c>
      <c r="AT254">
        <f t="shared" si="30"/>
        <v>7</v>
      </c>
      <c r="AU254">
        <f t="shared" si="31"/>
        <v>4</v>
      </c>
      <c r="AV254">
        <f t="shared" si="32"/>
        <v>7</v>
      </c>
      <c r="AW254">
        <f t="shared" si="33"/>
        <v>7</v>
      </c>
      <c r="AX254">
        <f t="shared" si="34"/>
        <v>7</v>
      </c>
      <c r="AY254">
        <f t="shared" si="35"/>
        <v>7</v>
      </c>
    </row>
    <row r="255" spans="38:51" x14ac:dyDescent="0.35">
      <c r="AL255" s="98" t="s">
        <v>154</v>
      </c>
      <c r="AM255">
        <f t="shared" si="23"/>
        <v>7</v>
      </c>
      <c r="AN255">
        <f t="shared" si="24"/>
        <v>7</v>
      </c>
      <c r="AO255">
        <f t="shared" si="25"/>
        <v>7</v>
      </c>
      <c r="AP255">
        <f t="shared" si="26"/>
        <v>6</v>
      </c>
      <c r="AQ255">
        <f t="shared" si="27"/>
        <v>7</v>
      </c>
      <c r="AR255">
        <f t="shared" si="28"/>
        <v>7</v>
      </c>
      <c r="AS255">
        <f t="shared" si="29"/>
        <v>7</v>
      </c>
      <c r="AT255">
        <f t="shared" si="30"/>
        <v>7</v>
      </c>
      <c r="AU255">
        <f t="shared" si="31"/>
        <v>7</v>
      </c>
      <c r="AV255">
        <f t="shared" si="32"/>
        <v>7</v>
      </c>
      <c r="AW255">
        <f t="shared" si="33"/>
        <v>7</v>
      </c>
      <c r="AX255">
        <f t="shared" si="34"/>
        <v>7</v>
      </c>
      <c r="AY255">
        <f t="shared" si="35"/>
        <v>7</v>
      </c>
    </row>
    <row r="256" spans="38:51" x14ac:dyDescent="0.35">
      <c r="AL256" s="19" t="s">
        <v>287</v>
      </c>
      <c r="AM256">
        <f t="shared" si="23"/>
        <v>7</v>
      </c>
      <c r="AN256">
        <f t="shared" si="24"/>
        <v>7</v>
      </c>
      <c r="AO256">
        <f t="shared" si="25"/>
        <v>7</v>
      </c>
      <c r="AP256">
        <f t="shared" si="26"/>
        <v>5</v>
      </c>
      <c r="AQ256">
        <f t="shared" si="27"/>
        <v>7</v>
      </c>
      <c r="AR256">
        <f t="shared" si="28"/>
        <v>7</v>
      </c>
      <c r="AS256">
        <f t="shared" si="29"/>
        <v>7</v>
      </c>
      <c r="AT256">
        <f t="shared" si="30"/>
        <v>7</v>
      </c>
      <c r="AU256">
        <f t="shared" si="31"/>
        <v>7</v>
      </c>
      <c r="AV256">
        <f t="shared" si="32"/>
        <v>7</v>
      </c>
      <c r="AW256">
        <f t="shared" si="33"/>
        <v>7</v>
      </c>
      <c r="AX256">
        <f t="shared" si="34"/>
        <v>7</v>
      </c>
      <c r="AY256">
        <f t="shared" si="35"/>
        <v>7</v>
      </c>
    </row>
    <row r="257" spans="38:51" x14ac:dyDescent="0.35">
      <c r="AL257" s="19" t="s">
        <v>155</v>
      </c>
      <c r="AM257">
        <f t="shared" si="23"/>
        <v>7</v>
      </c>
      <c r="AN257">
        <f t="shared" si="24"/>
        <v>7</v>
      </c>
      <c r="AO257">
        <f t="shared" si="25"/>
        <v>7</v>
      </c>
      <c r="AP257">
        <f t="shared" si="26"/>
        <v>6</v>
      </c>
      <c r="AQ257">
        <f t="shared" si="27"/>
        <v>7</v>
      </c>
      <c r="AR257">
        <f t="shared" si="28"/>
        <v>7</v>
      </c>
      <c r="AS257">
        <f t="shared" si="29"/>
        <v>7</v>
      </c>
      <c r="AT257">
        <f t="shared" si="30"/>
        <v>7</v>
      </c>
      <c r="AU257">
        <f t="shared" si="31"/>
        <v>7</v>
      </c>
      <c r="AV257">
        <f t="shared" si="32"/>
        <v>7</v>
      </c>
      <c r="AW257">
        <f t="shared" si="33"/>
        <v>7</v>
      </c>
      <c r="AX257">
        <f t="shared" si="34"/>
        <v>7</v>
      </c>
      <c r="AY257">
        <f t="shared" si="35"/>
        <v>7</v>
      </c>
    </row>
    <row r="258" spans="38:51" x14ac:dyDescent="0.35">
      <c r="AL258" s="19" t="s">
        <v>292</v>
      </c>
      <c r="AM258">
        <f t="shared" si="23"/>
        <v>7</v>
      </c>
      <c r="AN258">
        <f t="shared" si="24"/>
        <v>7</v>
      </c>
      <c r="AO258">
        <f t="shared" si="25"/>
        <v>7</v>
      </c>
      <c r="AP258">
        <f t="shared" si="26"/>
        <v>5</v>
      </c>
      <c r="AQ258">
        <f t="shared" si="27"/>
        <v>5</v>
      </c>
      <c r="AR258">
        <f t="shared" si="28"/>
        <v>7</v>
      </c>
      <c r="AS258">
        <f t="shared" si="29"/>
        <v>7</v>
      </c>
      <c r="AT258">
        <f t="shared" si="30"/>
        <v>7</v>
      </c>
      <c r="AU258">
        <f t="shared" si="31"/>
        <v>7</v>
      </c>
      <c r="AV258">
        <f t="shared" si="32"/>
        <v>7</v>
      </c>
      <c r="AW258">
        <f t="shared" si="33"/>
        <v>7</v>
      </c>
      <c r="AX258">
        <f t="shared" si="34"/>
        <v>7</v>
      </c>
      <c r="AY258">
        <f t="shared" si="35"/>
        <v>7</v>
      </c>
    </row>
    <row r="259" spans="38:51" x14ac:dyDescent="0.35">
      <c r="AL259" s="19" t="s">
        <v>219</v>
      </c>
      <c r="AM259">
        <f t="shared" si="23"/>
        <v>7</v>
      </c>
      <c r="AN259">
        <f t="shared" si="24"/>
        <v>7</v>
      </c>
      <c r="AO259">
        <f t="shared" si="25"/>
        <v>7</v>
      </c>
      <c r="AP259">
        <f t="shared" si="26"/>
        <v>6</v>
      </c>
      <c r="AQ259">
        <f t="shared" si="27"/>
        <v>6</v>
      </c>
      <c r="AR259">
        <f t="shared" si="28"/>
        <v>7</v>
      </c>
      <c r="AS259">
        <f t="shared" si="29"/>
        <v>7</v>
      </c>
      <c r="AT259">
        <f t="shared" si="30"/>
        <v>7</v>
      </c>
      <c r="AU259">
        <f t="shared" si="31"/>
        <v>7</v>
      </c>
      <c r="AV259">
        <f t="shared" si="32"/>
        <v>7</v>
      </c>
      <c r="AW259">
        <f t="shared" si="33"/>
        <v>7</v>
      </c>
      <c r="AX259">
        <f t="shared" si="34"/>
        <v>6</v>
      </c>
      <c r="AY259">
        <f t="shared" si="35"/>
        <v>7</v>
      </c>
    </row>
    <row r="260" spans="38:51" x14ac:dyDescent="0.35">
      <c r="AL260" s="19" t="s">
        <v>156</v>
      </c>
      <c r="AM260">
        <f t="shared" si="23"/>
        <v>7</v>
      </c>
      <c r="AN260">
        <f t="shared" si="24"/>
        <v>7</v>
      </c>
      <c r="AO260">
        <f t="shared" si="25"/>
        <v>7</v>
      </c>
      <c r="AP260">
        <f t="shared" si="26"/>
        <v>4</v>
      </c>
      <c r="AQ260">
        <f t="shared" si="27"/>
        <v>5</v>
      </c>
      <c r="AR260">
        <f t="shared" si="28"/>
        <v>7</v>
      </c>
      <c r="AS260">
        <f t="shared" si="29"/>
        <v>7</v>
      </c>
      <c r="AT260">
        <f t="shared" si="30"/>
        <v>7</v>
      </c>
      <c r="AU260">
        <f t="shared" si="31"/>
        <v>5</v>
      </c>
      <c r="AV260">
        <f t="shared" si="32"/>
        <v>7</v>
      </c>
      <c r="AW260">
        <f t="shared" si="33"/>
        <v>7</v>
      </c>
      <c r="AX260">
        <f t="shared" si="34"/>
        <v>7</v>
      </c>
      <c r="AY260">
        <f t="shared" si="35"/>
        <v>7</v>
      </c>
    </row>
    <row r="261" spans="38:51" x14ac:dyDescent="0.35">
      <c r="AL261" s="19" t="s">
        <v>157</v>
      </c>
      <c r="AM261">
        <f t="shared" si="23"/>
        <v>7</v>
      </c>
      <c r="AN261">
        <f t="shared" si="24"/>
        <v>7</v>
      </c>
      <c r="AO261">
        <f t="shared" si="25"/>
        <v>7</v>
      </c>
      <c r="AP261">
        <f t="shared" si="26"/>
        <v>4</v>
      </c>
      <c r="AQ261">
        <f t="shared" si="27"/>
        <v>7</v>
      </c>
      <c r="AR261">
        <f t="shared" si="28"/>
        <v>7</v>
      </c>
      <c r="AS261">
        <f t="shared" si="29"/>
        <v>7</v>
      </c>
      <c r="AT261">
        <f t="shared" si="30"/>
        <v>7</v>
      </c>
      <c r="AU261">
        <f t="shared" si="31"/>
        <v>0</v>
      </c>
      <c r="AV261">
        <f t="shared" si="32"/>
        <v>7</v>
      </c>
      <c r="AW261">
        <f t="shared" si="33"/>
        <v>7</v>
      </c>
      <c r="AX261">
        <f t="shared" si="34"/>
        <v>6</v>
      </c>
      <c r="AY261">
        <f t="shared" si="35"/>
        <v>7</v>
      </c>
    </row>
    <row r="262" spans="38:51" x14ac:dyDescent="0.35">
      <c r="AL262" s="19" t="s">
        <v>158</v>
      </c>
      <c r="AM262">
        <f t="shared" si="23"/>
        <v>7</v>
      </c>
      <c r="AN262">
        <f t="shared" si="24"/>
        <v>7</v>
      </c>
      <c r="AO262">
        <f t="shared" si="25"/>
        <v>7</v>
      </c>
      <c r="AP262">
        <f t="shared" si="26"/>
        <v>4</v>
      </c>
      <c r="AQ262">
        <f t="shared" si="27"/>
        <v>3</v>
      </c>
      <c r="AR262">
        <f t="shared" si="28"/>
        <v>6</v>
      </c>
      <c r="AS262">
        <f t="shared" si="29"/>
        <v>7</v>
      </c>
      <c r="AT262">
        <f t="shared" si="30"/>
        <v>7</v>
      </c>
      <c r="AU262">
        <f t="shared" si="31"/>
        <v>0</v>
      </c>
      <c r="AV262">
        <f t="shared" si="32"/>
        <v>7</v>
      </c>
      <c r="AW262">
        <f t="shared" si="33"/>
        <v>7</v>
      </c>
      <c r="AX262">
        <f t="shared" si="34"/>
        <v>6</v>
      </c>
      <c r="AY262">
        <f t="shared" si="35"/>
        <v>7</v>
      </c>
    </row>
    <row r="263" spans="38:51" x14ac:dyDescent="0.35">
      <c r="AL263" s="19" t="s">
        <v>216</v>
      </c>
      <c r="AM263">
        <f t="shared" si="23"/>
        <v>7</v>
      </c>
      <c r="AN263">
        <f t="shared" si="24"/>
        <v>7</v>
      </c>
      <c r="AO263">
        <f t="shared" si="25"/>
        <v>7</v>
      </c>
      <c r="AP263">
        <f t="shared" si="26"/>
        <v>5</v>
      </c>
      <c r="AQ263">
        <f t="shared" si="27"/>
        <v>7</v>
      </c>
      <c r="AR263">
        <f t="shared" si="28"/>
        <v>7</v>
      </c>
      <c r="AS263">
        <f t="shared" si="29"/>
        <v>7</v>
      </c>
      <c r="AT263">
        <f t="shared" si="30"/>
        <v>7</v>
      </c>
      <c r="AU263">
        <f t="shared" si="31"/>
        <v>4</v>
      </c>
      <c r="AV263">
        <f t="shared" si="32"/>
        <v>7</v>
      </c>
      <c r="AW263">
        <f t="shared" si="33"/>
        <v>7</v>
      </c>
      <c r="AX263">
        <f t="shared" si="34"/>
        <v>7</v>
      </c>
      <c r="AY263">
        <f t="shared" si="35"/>
        <v>7</v>
      </c>
    </row>
    <row r="264" spans="38:51" x14ac:dyDescent="0.35">
      <c r="AL264" s="19" t="s">
        <v>337</v>
      </c>
      <c r="AM264">
        <f t="shared" si="23"/>
        <v>7</v>
      </c>
      <c r="AN264">
        <f t="shared" si="24"/>
        <v>7</v>
      </c>
      <c r="AO264">
        <f t="shared" si="25"/>
        <v>7</v>
      </c>
      <c r="AP264">
        <f t="shared" si="26"/>
        <v>5</v>
      </c>
      <c r="AQ264">
        <f t="shared" si="27"/>
        <v>7</v>
      </c>
      <c r="AR264">
        <f t="shared" si="28"/>
        <v>7</v>
      </c>
      <c r="AS264">
        <f t="shared" si="29"/>
        <v>7</v>
      </c>
      <c r="AT264">
        <f t="shared" si="30"/>
        <v>7</v>
      </c>
      <c r="AU264">
        <f t="shared" si="31"/>
        <v>7</v>
      </c>
      <c r="AV264">
        <f t="shared" si="32"/>
        <v>7</v>
      </c>
      <c r="AW264">
        <f t="shared" si="33"/>
        <v>7</v>
      </c>
      <c r="AX264">
        <f t="shared" si="34"/>
        <v>7</v>
      </c>
      <c r="AY264">
        <f t="shared" si="35"/>
        <v>7</v>
      </c>
    </row>
    <row r="265" spans="38:51" x14ac:dyDescent="0.35">
      <c r="AL265" s="19" t="s">
        <v>159</v>
      </c>
      <c r="AM265">
        <f t="shared" si="23"/>
        <v>7</v>
      </c>
      <c r="AN265">
        <f t="shared" si="24"/>
        <v>7</v>
      </c>
      <c r="AO265">
        <f t="shared" si="25"/>
        <v>7</v>
      </c>
      <c r="AP265">
        <f t="shared" si="26"/>
        <v>5</v>
      </c>
      <c r="AQ265">
        <f t="shared" si="27"/>
        <v>6</v>
      </c>
      <c r="AR265">
        <f t="shared" si="28"/>
        <v>7</v>
      </c>
      <c r="AS265">
        <f t="shared" si="29"/>
        <v>7</v>
      </c>
      <c r="AT265">
        <f t="shared" si="30"/>
        <v>7</v>
      </c>
      <c r="AU265">
        <f t="shared" si="31"/>
        <v>7</v>
      </c>
      <c r="AV265">
        <f t="shared" si="32"/>
        <v>7</v>
      </c>
      <c r="AW265">
        <f t="shared" si="33"/>
        <v>7</v>
      </c>
      <c r="AX265">
        <f t="shared" si="34"/>
        <v>7</v>
      </c>
      <c r="AY265">
        <f t="shared" si="35"/>
        <v>7</v>
      </c>
    </row>
    <row r="266" spans="38:51" x14ac:dyDescent="0.35">
      <c r="AL266" s="19" t="s">
        <v>290</v>
      </c>
      <c r="AM266">
        <f t="shared" si="23"/>
        <v>7</v>
      </c>
      <c r="AN266">
        <f t="shared" si="24"/>
        <v>7</v>
      </c>
      <c r="AO266">
        <f t="shared" si="25"/>
        <v>7</v>
      </c>
      <c r="AP266">
        <f t="shared" si="26"/>
        <v>2</v>
      </c>
      <c r="AQ266">
        <f t="shared" si="27"/>
        <v>0</v>
      </c>
      <c r="AR266">
        <f t="shared" si="28"/>
        <v>6</v>
      </c>
      <c r="AS266">
        <f t="shared" si="29"/>
        <v>7</v>
      </c>
      <c r="AT266">
        <f t="shared" si="30"/>
        <v>7</v>
      </c>
      <c r="AU266">
        <f t="shared" si="31"/>
        <v>7</v>
      </c>
      <c r="AV266">
        <f t="shared" si="32"/>
        <v>7</v>
      </c>
      <c r="AW266">
        <f t="shared" si="33"/>
        <v>7</v>
      </c>
      <c r="AX266">
        <f t="shared" si="34"/>
        <v>7</v>
      </c>
      <c r="AY266">
        <f t="shared" si="35"/>
        <v>7</v>
      </c>
    </row>
    <row r="267" spans="38:51" x14ac:dyDescent="0.35">
      <c r="AL267" s="19" t="s">
        <v>160</v>
      </c>
      <c r="AM267">
        <f t="shared" si="23"/>
        <v>6</v>
      </c>
      <c r="AN267">
        <f t="shared" si="24"/>
        <v>5</v>
      </c>
      <c r="AO267">
        <f t="shared" si="25"/>
        <v>5</v>
      </c>
      <c r="AP267">
        <f t="shared" si="26"/>
        <v>0</v>
      </c>
      <c r="AQ267">
        <f t="shared" si="27"/>
        <v>4</v>
      </c>
      <c r="AR267">
        <f t="shared" si="28"/>
        <v>7</v>
      </c>
      <c r="AS267">
        <f t="shared" si="29"/>
        <v>3</v>
      </c>
      <c r="AT267">
        <f t="shared" si="30"/>
        <v>5</v>
      </c>
      <c r="AU267">
        <f t="shared" si="31"/>
        <v>1</v>
      </c>
      <c r="AV267">
        <f t="shared" si="32"/>
        <v>6</v>
      </c>
      <c r="AW267">
        <f t="shared" si="33"/>
        <v>7</v>
      </c>
      <c r="AX267">
        <f t="shared" si="34"/>
        <v>7</v>
      </c>
      <c r="AY267">
        <f t="shared" si="35"/>
        <v>5</v>
      </c>
    </row>
    <row r="268" spans="38:51" x14ac:dyDescent="0.35">
      <c r="AL268" s="19" t="s">
        <v>161</v>
      </c>
      <c r="AM268">
        <f t="shared" si="23"/>
        <v>6</v>
      </c>
      <c r="AN268">
        <f t="shared" si="24"/>
        <v>7</v>
      </c>
      <c r="AO268">
        <f t="shared" si="25"/>
        <v>5</v>
      </c>
      <c r="AP268">
        <f t="shared" si="26"/>
        <v>3</v>
      </c>
      <c r="AQ268">
        <f t="shared" si="27"/>
        <v>4</v>
      </c>
      <c r="AR268">
        <f t="shared" si="28"/>
        <v>7</v>
      </c>
      <c r="AS268">
        <f t="shared" si="29"/>
        <v>2</v>
      </c>
      <c r="AT268">
        <f t="shared" si="30"/>
        <v>2</v>
      </c>
      <c r="AU268">
        <f t="shared" si="31"/>
        <v>0</v>
      </c>
      <c r="AV268">
        <f t="shared" si="32"/>
        <v>0</v>
      </c>
      <c r="AW268">
        <f t="shared" si="33"/>
        <v>0</v>
      </c>
      <c r="AX268">
        <f t="shared" si="34"/>
        <v>5</v>
      </c>
      <c r="AY268">
        <f t="shared" si="35"/>
        <v>3</v>
      </c>
    </row>
    <row r="269" spans="38:51" x14ac:dyDescent="0.35">
      <c r="AL269" s="19" t="s">
        <v>162</v>
      </c>
      <c r="AM269">
        <f t="shared" si="23"/>
        <v>7</v>
      </c>
      <c r="AN269">
        <f t="shared" si="24"/>
        <v>7</v>
      </c>
      <c r="AO269">
        <f t="shared" si="25"/>
        <v>7</v>
      </c>
      <c r="AP269">
        <f t="shared" si="26"/>
        <v>7</v>
      </c>
      <c r="AQ269">
        <f t="shared" si="27"/>
        <v>7</v>
      </c>
      <c r="AR269">
        <f t="shared" si="28"/>
        <v>7</v>
      </c>
      <c r="AS269">
        <f t="shared" si="29"/>
        <v>7</v>
      </c>
      <c r="AT269">
        <f t="shared" si="30"/>
        <v>7</v>
      </c>
      <c r="AU269">
        <f t="shared" si="31"/>
        <v>6</v>
      </c>
      <c r="AV269">
        <f t="shared" si="32"/>
        <v>7</v>
      </c>
      <c r="AW269">
        <f t="shared" si="33"/>
        <v>7</v>
      </c>
      <c r="AX269">
        <f t="shared" si="34"/>
        <v>7</v>
      </c>
      <c r="AY269">
        <f t="shared" si="35"/>
        <v>7</v>
      </c>
    </row>
    <row r="270" spans="38:51" x14ac:dyDescent="0.35">
      <c r="AL270" s="19" t="s">
        <v>163</v>
      </c>
      <c r="AM270">
        <f t="shared" si="23"/>
        <v>7</v>
      </c>
      <c r="AN270">
        <f t="shared" si="24"/>
        <v>7</v>
      </c>
      <c r="AO270">
        <f t="shared" si="25"/>
        <v>7</v>
      </c>
      <c r="AP270">
        <f t="shared" si="26"/>
        <v>4</v>
      </c>
      <c r="AQ270">
        <f t="shared" si="27"/>
        <v>6</v>
      </c>
      <c r="AR270">
        <f t="shared" si="28"/>
        <v>7</v>
      </c>
      <c r="AS270">
        <f t="shared" si="29"/>
        <v>7</v>
      </c>
      <c r="AT270">
        <f t="shared" si="30"/>
        <v>7</v>
      </c>
      <c r="AU270">
        <f t="shared" si="31"/>
        <v>7</v>
      </c>
      <c r="AV270">
        <f t="shared" si="32"/>
        <v>7</v>
      </c>
      <c r="AW270">
        <f t="shared" si="33"/>
        <v>7</v>
      </c>
      <c r="AX270">
        <f t="shared" si="34"/>
        <v>7</v>
      </c>
      <c r="AY270">
        <f t="shared" si="35"/>
        <v>7</v>
      </c>
    </row>
    <row r="271" spans="38:51" x14ac:dyDescent="0.35">
      <c r="AL271" s="19" t="s">
        <v>164</v>
      </c>
      <c r="AM271">
        <f t="shared" si="23"/>
        <v>7</v>
      </c>
      <c r="AN271">
        <f t="shared" si="24"/>
        <v>7</v>
      </c>
      <c r="AO271">
        <f t="shared" si="25"/>
        <v>7</v>
      </c>
      <c r="AP271">
        <f t="shared" si="26"/>
        <v>5</v>
      </c>
      <c r="AQ271">
        <f t="shared" si="27"/>
        <v>5</v>
      </c>
      <c r="AR271">
        <f t="shared" si="28"/>
        <v>7</v>
      </c>
      <c r="AS271">
        <f t="shared" si="29"/>
        <v>7</v>
      </c>
      <c r="AT271">
        <f t="shared" si="30"/>
        <v>7</v>
      </c>
      <c r="AU271">
        <f t="shared" si="31"/>
        <v>1</v>
      </c>
      <c r="AV271">
        <f t="shared" si="32"/>
        <v>7</v>
      </c>
      <c r="AW271">
        <f t="shared" si="33"/>
        <v>7</v>
      </c>
      <c r="AX271">
        <f t="shared" si="34"/>
        <v>7</v>
      </c>
      <c r="AY271">
        <f t="shared" si="35"/>
        <v>6</v>
      </c>
    </row>
    <row r="272" spans="38:51" x14ac:dyDescent="0.35">
      <c r="AL272" s="19" t="s">
        <v>165</v>
      </c>
      <c r="AM272">
        <f t="shared" si="23"/>
        <v>7</v>
      </c>
      <c r="AN272">
        <f t="shared" si="24"/>
        <v>7</v>
      </c>
      <c r="AO272">
        <f t="shared" si="25"/>
        <v>7</v>
      </c>
      <c r="AP272">
        <f t="shared" si="26"/>
        <v>6</v>
      </c>
      <c r="AQ272">
        <f t="shared" si="27"/>
        <v>7</v>
      </c>
      <c r="AR272">
        <f t="shared" si="28"/>
        <v>7</v>
      </c>
      <c r="AS272">
        <f t="shared" si="29"/>
        <v>7</v>
      </c>
      <c r="AT272">
        <f t="shared" si="30"/>
        <v>7</v>
      </c>
      <c r="AU272">
        <f t="shared" si="31"/>
        <v>7</v>
      </c>
      <c r="AV272">
        <f t="shared" si="32"/>
        <v>7</v>
      </c>
      <c r="AW272">
        <f t="shared" si="33"/>
        <v>7</v>
      </c>
      <c r="AX272">
        <f t="shared" si="34"/>
        <v>7</v>
      </c>
      <c r="AY272">
        <f t="shared" si="35"/>
        <v>7</v>
      </c>
    </row>
    <row r="273" spans="38:51" x14ac:dyDescent="0.35">
      <c r="AL273" s="19" t="s">
        <v>166</v>
      </c>
      <c r="AM273">
        <f t="shared" si="23"/>
        <v>7</v>
      </c>
      <c r="AN273">
        <f t="shared" si="24"/>
        <v>7</v>
      </c>
      <c r="AO273">
        <f t="shared" si="25"/>
        <v>6</v>
      </c>
      <c r="AP273">
        <f t="shared" si="26"/>
        <v>3</v>
      </c>
      <c r="AQ273">
        <f t="shared" si="27"/>
        <v>4</v>
      </c>
      <c r="AR273">
        <f t="shared" si="28"/>
        <v>7</v>
      </c>
      <c r="AS273">
        <f t="shared" si="29"/>
        <v>5</v>
      </c>
      <c r="AT273">
        <f t="shared" si="30"/>
        <v>7</v>
      </c>
      <c r="AU273">
        <f t="shared" si="31"/>
        <v>1</v>
      </c>
      <c r="AV273">
        <f t="shared" si="32"/>
        <v>7</v>
      </c>
      <c r="AW273">
        <f t="shared" si="33"/>
        <v>6</v>
      </c>
      <c r="AX273">
        <f t="shared" si="34"/>
        <v>7</v>
      </c>
      <c r="AY273">
        <f t="shared" si="35"/>
        <v>7</v>
      </c>
    </row>
    <row r="274" spans="38:51" x14ac:dyDescent="0.35">
      <c r="AL274" s="19" t="s">
        <v>167</v>
      </c>
      <c r="AM274">
        <f t="shared" si="23"/>
        <v>7</v>
      </c>
      <c r="AN274">
        <f t="shared" si="24"/>
        <v>7</v>
      </c>
      <c r="AO274">
        <f t="shared" si="25"/>
        <v>7</v>
      </c>
      <c r="AP274">
        <f t="shared" si="26"/>
        <v>5</v>
      </c>
      <c r="AQ274">
        <f t="shared" si="27"/>
        <v>7</v>
      </c>
      <c r="AR274">
        <f t="shared" si="28"/>
        <v>7</v>
      </c>
      <c r="AS274">
        <f t="shared" si="29"/>
        <v>7</v>
      </c>
      <c r="AT274">
        <f t="shared" si="30"/>
        <v>7</v>
      </c>
      <c r="AU274">
        <f t="shared" si="31"/>
        <v>7</v>
      </c>
      <c r="AV274">
        <f t="shared" si="32"/>
        <v>7</v>
      </c>
      <c r="AW274">
        <f t="shared" si="33"/>
        <v>7</v>
      </c>
      <c r="AX274">
        <f t="shared" si="34"/>
        <v>7</v>
      </c>
      <c r="AY274">
        <f t="shared" si="35"/>
        <v>7</v>
      </c>
    </row>
    <row r="275" spans="38:51" x14ac:dyDescent="0.35">
      <c r="AL275" s="19" t="s">
        <v>338</v>
      </c>
      <c r="AM275">
        <f>COUNTIF($AM132:$AS132,"&gt;=85%")</f>
        <v>7</v>
      </c>
      <c r="AN275">
        <f t="shared" si="24"/>
        <v>7</v>
      </c>
      <c r="AO275">
        <f t="shared" si="25"/>
        <v>7</v>
      </c>
      <c r="AP275">
        <f t="shared" si="26"/>
        <v>6</v>
      </c>
      <c r="AQ275">
        <f t="shared" si="27"/>
        <v>7</v>
      </c>
      <c r="AR275">
        <f t="shared" si="28"/>
        <v>7</v>
      </c>
      <c r="AS275">
        <f t="shared" si="29"/>
        <v>7</v>
      </c>
      <c r="AT275">
        <f t="shared" si="30"/>
        <v>7</v>
      </c>
      <c r="AU275">
        <f t="shared" si="31"/>
        <v>7</v>
      </c>
      <c r="AV275">
        <f t="shared" si="32"/>
        <v>7</v>
      </c>
      <c r="AW275">
        <f t="shared" si="33"/>
        <v>7</v>
      </c>
      <c r="AX275">
        <f t="shared" si="34"/>
        <v>7</v>
      </c>
      <c r="AY275">
        <f t="shared" si="35"/>
        <v>7</v>
      </c>
    </row>
    <row r="276" spans="38:51" x14ac:dyDescent="0.35">
      <c r="AL276" s="19"/>
    </row>
    <row r="277" spans="38:51" x14ac:dyDescent="0.35">
      <c r="AL277" s="19"/>
    </row>
    <row r="278" spans="38:51" x14ac:dyDescent="0.35">
      <c r="AL278" s="19"/>
    </row>
    <row r="279" spans="38:51" x14ac:dyDescent="0.35">
      <c r="AL279" s="19"/>
    </row>
    <row r="280" spans="38:51" x14ac:dyDescent="0.35">
      <c r="AL280" s="19"/>
    </row>
    <row r="281" spans="38:51" x14ac:dyDescent="0.35">
      <c r="AL281" s="19"/>
    </row>
    <row r="282" spans="38:51" x14ac:dyDescent="0.35">
      <c r="AL282" s="19"/>
    </row>
    <row r="283" spans="38:51" x14ac:dyDescent="0.35">
      <c r="AL283" s="98"/>
    </row>
    <row r="284" spans="38:51" x14ac:dyDescent="0.35">
      <c r="AL284" s="19"/>
    </row>
    <row r="285" spans="38:51" x14ac:dyDescent="0.35">
      <c r="AL285" s="19"/>
    </row>
    <row r="286" spans="38:51" x14ac:dyDescent="0.35">
      <c r="AL286" s="19"/>
    </row>
    <row r="287" spans="38:51" x14ac:dyDescent="0.35">
      <c r="AL287" s="19"/>
    </row>
    <row r="289" spans="38:52" x14ac:dyDescent="0.35">
      <c r="AQ289" s="27"/>
    </row>
    <row r="290" spans="38:52" x14ac:dyDescent="0.35">
      <c r="AL290" s="16" t="s">
        <v>198</v>
      </c>
      <c r="AM290" s="27" t="s">
        <v>42</v>
      </c>
      <c r="AN290" s="27" t="s">
        <v>43</v>
      </c>
      <c r="AO290" s="27" t="s">
        <v>44</v>
      </c>
      <c r="AP290" s="27" t="s">
        <v>45</v>
      </c>
      <c r="AQ290" s="27" t="s">
        <v>46</v>
      </c>
      <c r="AR290" s="27" t="s">
        <v>47</v>
      </c>
      <c r="AS290" s="27" t="s">
        <v>48</v>
      </c>
      <c r="AT290" s="27" t="s">
        <v>49</v>
      </c>
      <c r="AU290" s="27" t="s">
        <v>50</v>
      </c>
      <c r="AV290" s="27" t="s">
        <v>51</v>
      </c>
      <c r="AW290" s="27" t="s">
        <v>52</v>
      </c>
      <c r="AX290" s="27" t="s">
        <v>53</v>
      </c>
      <c r="AY290" s="27" t="s">
        <v>54</v>
      </c>
      <c r="AZ290" s="27"/>
    </row>
    <row r="291" spans="38:52" x14ac:dyDescent="0.35">
      <c r="AL291" s="16" t="s">
        <v>35</v>
      </c>
      <c r="AM291" s="27">
        <f>IF((COUNTIF(AM292:AM425,"&gt;0"))=0, "", (COUNTIF(AM292:AM425,"&gt;0")))</f>
        <v>70</v>
      </c>
      <c r="AN291" s="27">
        <f>IF((COUNTIF(AN292:AN425,"&gt;0"))=0, "", (COUNTIF(AN292:AN425,"&gt;0")))</f>
        <v>77</v>
      </c>
      <c r="AO291" s="27">
        <f t="shared" ref="AO291:AY291" si="36">IF((COUNTIF(AO292:AO425,"&gt;0"))=0, "", (COUNTIF(AO292:AO425,"&gt;0")))</f>
        <v>72</v>
      </c>
      <c r="AP291" s="27">
        <f t="shared" si="36"/>
        <v>46</v>
      </c>
      <c r="AQ291" s="27">
        <f t="shared" si="36"/>
        <v>46</v>
      </c>
      <c r="AR291" s="27">
        <f t="shared" si="36"/>
        <v>66</v>
      </c>
      <c r="AS291" s="27">
        <f t="shared" si="36"/>
        <v>68</v>
      </c>
      <c r="AT291" s="27">
        <f t="shared" si="36"/>
        <v>64</v>
      </c>
      <c r="AU291" s="27">
        <f t="shared" si="36"/>
        <v>73</v>
      </c>
      <c r="AV291" s="27">
        <f t="shared" si="36"/>
        <v>77</v>
      </c>
      <c r="AW291" s="27">
        <f t="shared" si="36"/>
        <v>72</v>
      </c>
      <c r="AX291" s="27">
        <f t="shared" si="36"/>
        <v>76</v>
      </c>
      <c r="AY291" s="27">
        <f t="shared" si="36"/>
        <v>70</v>
      </c>
      <c r="AZ291" s="27" t="str">
        <f t="shared" ref="AZ291" si="37">IF(COUNTIF(AZ292:AZ425,"&gt;0")=0,"",COUNTIF(AZ292:AZ425,"&gt;0"))</f>
        <v/>
      </c>
    </row>
    <row r="292" spans="38:52" x14ac:dyDescent="0.35">
      <c r="AL292" s="19" t="s">
        <v>63</v>
      </c>
      <c r="AM292">
        <f>COUNTIF($AM8:$AS8,"&gt;=95%")</f>
        <v>2</v>
      </c>
      <c r="AN292">
        <f>COUNTIF($AU8:$BA8,"&gt;=95%")</f>
        <v>3</v>
      </c>
      <c r="AO292">
        <f>COUNTIF($BC8:$BI8,"&gt;=95%")</f>
        <v>4</v>
      </c>
      <c r="AP292">
        <f>COUNTIF($BK8:$BQ8,"&gt;=95%")</f>
        <v>0</v>
      </c>
      <c r="AQ292">
        <f>COUNTIF($BS8:$BY8,"&gt;=95%")</f>
        <v>0</v>
      </c>
      <c r="AR292">
        <f>COUNTIF($CA8:$CG8,"&gt;=95%")</f>
        <v>2</v>
      </c>
      <c r="AS292">
        <f>COUNTIF($CI8:$CO8,"&gt;=95%")</f>
        <v>0</v>
      </c>
      <c r="AT292">
        <f>COUNTIF($CQ8:$CW8,"&gt;=95%")</f>
        <v>3</v>
      </c>
      <c r="AU292">
        <f>COUNTIF($CY8:$DE8,"&gt;=95%")</f>
        <v>1</v>
      </c>
      <c r="AV292">
        <f>COUNTIF($DG8:$DM8,"&gt;=95%")</f>
        <v>0</v>
      </c>
      <c r="AW292">
        <f>COUNTIF($DO8:$DU8,"&gt;=95%")</f>
        <v>0</v>
      </c>
      <c r="AX292">
        <f>COUNTIF($DW8:$EC8,"&gt;=95%")</f>
        <v>0</v>
      </c>
      <c r="AY292">
        <f>COUNTIF($EE8:$EK8,"&gt;=95%")</f>
        <v>0</v>
      </c>
    </row>
    <row r="293" spans="38:52" x14ac:dyDescent="0.35">
      <c r="AL293" s="19" t="s">
        <v>64</v>
      </c>
      <c r="AM293">
        <f t="shared" ref="AM293:AM356" si="38">COUNTIF($AM9:$AS9,"&gt;=95%")</f>
        <v>0</v>
      </c>
      <c r="AN293">
        <f>COUNTIF($AU9:$BA9,"&gt;=95%")</f>
        <v>0</v>
      </c>
      <c r="AO293">
        <f t="shared" ref="AO293:AO356" si="39">COUNTIF($BC9:$BI9,"&gt;=95%")</f>
        <v>0</v>
      </c>
      <c r="AP293">
        <f t="shared" ref="AP293:AP356" si="40">COUNTIF($BK9:$BQ9,"&gt;=95%")</f>
        <v>0</v>
      </c>
      <c r="AQ293">
        <f t="shared" ref="AQ293:AQ356" si="41">COUNTIF($BS9:$BY9,"&gt;=95%")</f>
        <v>0</v>
      </c>
      <c r="AR293">
        <f t="shared" ref="AR293:AR356" si="42">COUNTIF($CA9:$CG9,"&gt;=95%")</f>
        <v>0</v>
      </c>
      <c r="AS293">
        <f t="shared" ref="AS293:AS356" si="43">COUNTIF($CI9:$CO9,"&gt;=95%")</f>
        <v>0</v>
      </c>
      <c r="AT293">
        <f t="shared" ref="AT293:AT356" si="44">COUNTIF($CQ9:$CW9,"&gt;=95%")</f>
        <v>0</v>
      </c>
      <c r="AU293">
        <f t="shared" ref="AU293:AU356" si="45">COUNTIF($CY9:$DE9,"&gt;=95%")</f>
        <v>0</v>
      </c>
      <c r="AV293">
        <f t="shared" ref="AV293:AV356" si="46">COUNTIF($DG9:$DM9,"&gt;=95%")</f>
        <v>0</v>
      </c>
      <c r="AW293">
        <f t="shared" ref="AW293:AW356" si="47">COUNTIF($DO9:$DU9,"&gt;=95%")</f>
        <v>0</v>
      </c>
      <c r="AX293">
        <f t="shared" ref="AX293:AX356" si="48">COUNTIF($DW9:$EC9,"&gt;=95%")</f>
        <v>0</v>
      </c>
      <c r="AY293">
        <f t="shared" ref="AY293:AY356" si="49">COUNTIF($EE9:$EK9,"&gt;=95%")</f>
        <v>0</v>
      </c>
    </row>
    <row r="294" spans="38:52" x14ac:dyDescent="0.35">
      <c r="AL294" s="19" t="s">
        <v>65</v>
      </c>
      <c r="AM294">
        <f t="shared" si="38"/>
        <v>0</v>
      </c>
      <c r="AN294">
        <f t="shared" ref="AN294:AN356" si="50">COUNTIF($AU10:$BA10,"&gt;=95%")</f>
        <v>0</v>
      </c>
      <c r="AO294">
        <f t="shared" si="39"/>
        <v>0</v>
      </c>
      <c r="AP294">
        <f t="shared" si="40"/>
        <v>0</v>
      </c>
      <c r="AQ294">
        <f t="shared" si="41"/>
        <v>2</v>
      </c>
      <c r="AR294">
        <f t="shared" si="42"/>
        <v>0</v>
      </c>
      <c r="AS294">
        <f t="shared" si="43"/>
        <v>0</v>
      </c>
      <c r="AT294">
        <f t="shared" si="44"/>
        <v>3</v>
      </c>
      <c r="AU294">
        <f t="shared" si="45"/>
        <v>5</v>
      </c>
      <c r="AV294">
        <f t="shared" si="46"/>
        <v>5</v>
      </c>
      <c r="AW294">
        <f t="shared" si="47"/>
        <v>3</v>
      </c>
      <c r="AX294">
        <f t="shared" si="48"/>
        <v>3</v>
      </c>
      <c r="AY294">
        <f t="shared" si="49"/>
        <v>3</v>
      </c>
    </row>
    <row r="295" spans="38:52" x14ac:dyDescent="0.35">
      <c r="AL295" s="19" t="s">
        <v>66</v>
      </c>
      <c r="AM295">
        <f t="shared" si="38"/>
        <v>0</v>
      </c>
      <c r="AN295">
        <f t="shared" si="50"/>
        <v>0</v>
      </c>
      <c r="AO295">
        <f t="shared" si="39"/>
        <v>0</v>
      </c>
      <c r="AP295">
        <f t="shared" si="40"/>
        <v>0</v>
      </c>
      <c r="AQ295">
        <f t="shared" si="41"/>
        <v>0</v>
      </c>
      <c r="AR295">
        <f t="shared" si="42"/>
        <v>0</v>
      </c>
      <c r="AS295">
        <f t="shared" si="43"/>
        <v>0</v>
      </c>
      <c r="AT295">
        <f t="shared" si="44"/>
        <v>0</v>
      </c>
      <c r="AU295">
        <f t="shared" si="45"/>
        <v>0</v>
      </c>
      <c r="AV295">
        <f t="shared" si="46"/>
        <v>1</v>
      </c>
      <c r="AW295">
        <f t="shared" si="47"/>
        <v>0</v>
      </c>
      <c r="AX295">
        <f t="shared" si="48"/>
        <v>0</v>
      </c>
      <c r="AY295">
        <f t="shared" si="49"/>
        <v>0</v>
      </c>
    </row>
    <row r="296" spans="38:52" x14ac:dyDescent="0.35">
      <c r="AL296" s="19" t="s">
        <v>67</v>
      </c>
      <c r="AM296">
        <f t="shared" si="38"/>
        <v>4</v>
      </c>
      <c r="AN296">
        <f t="shared" si="50"/>
        <v>6</v>
      </c>
      <c r="AO296">
        <f t="shared" si="39"/>
        <v>2</v>
      </c>
      <c r="AP296">
        <f t="shared" si="40"/>
        <v>0</v>
      </c>
      <c r="AQ296">
        <f t="shared" si="41"/>
        <v>2</v>
      </c>
      <c r="AR296">
        <f t="shared" si="42"/>
        <v>4</v>
      </c>
      <c r="AS296">
        <f t="shared" si="43"/>
        <v>1</v>
      </c>
      <c r="AT296">
        <f t="shared" si="44"/>
        <v>2</v>
      </c>
      <c r="AU296">
        <f t="shared" si="45"/>
        <v>3</v>
      </c>
      <c r="AV296">
        <f t="shared" si="46"/>
        <v>3</v>
      </c>
      <c r="AW296">
        <f t="shared" si="47"/>
        <v>5</v>
      </c>
      <c r="AX296">
        <f t="shared" si="48"/>
        <v>3</v>
      </c>
      <c r="AY296">
        <f t="shared" si="49"/>
        <v>3</v>
      </c>
    </row>
    <row r="297" spans="38:52" x14ac:dyDescent="0.35">
      <c r="AL297" s="19" t="s">
        <v>68</v>
      </c>
      <c r="AM297">
        <f t="shared" si="38"/>
        <v>0</v>
      </c>
      <c r="AN297">
        <f>COUNTIF($AU13:$BA13,"&gt;=95%")</f>
        <v>0</v>
      </c>
      <c r="AO297">
        <f t="shared" si="39"/>
        <v>0</v>
      </c>
      <c r="AP297">
        <f t="shared" si="40"/>
        <v>0</v>
      </c>
      <c r="AQ297">
        <f t="shared" si="41"/>
        <v>0</v>
      </c>
      <c r="AR297">
        <f t="shared" si="42"/>
        <v>0</v>
      </c>
      <c r="AS297">
        <f t="shared" si="43"/>
        <v>0</v>
      </c>
      <c r="AT297">
        <f t="shared" si="44"/>
        <v>0</v>
      </c>
      <c r="AU297">
        <f t="shared" si="45"/>
        <v>0</v>
      </c>
      <c r="AV297">
        <f t="shared" si="46"/>
        <v>0</v>
      </c>
      <c r="AW297">
        <f t="shared" si="47"/>
        <v>0</v>
      </c>
      <c r="AX297">
        <f t="shared" si="48"/>
        <v>0</v>
      </c>
      <c r="AY297">
        <f t="shared" si="49"/>
        <v>0</v>
      </c>
    </row>
    <row r="298" spans="38:52" x14ac:dyDescent="0.35">
      <c r="AL298" s="19" t="s">
        <v>286</v>
      </c>
      <c r="AM298">
        <f t="shared" si="38"/>
        <v>1</v>
      </c>
      <c r="AN298">
        <f t="shared" si="50"/>
        <v>0</v>
      </c>
      <c r="AO298">
        <f t="shared" si="39"/>
        <v>1</v>
      </c>
      <c r="AP298">
        <f t="shared" si="40"/>
        <v>0</v>
      </c>
      <c r="AQ298">
        <f t="shared" si="41"/>
        <v>2</v>
      </c>
      <c r="AR298">
        <f t="shared" si="42"/>
        <v>6</v>
      </c>
      <c r="AS298">
        <f t="shared" si="43"/>
        <v>0</v>
      </c>
      <c r="AT298">
        <f t="shared" si="44"/>
        <v>0</v>
      </c>
      <c r="AU298">
        <f t="shared" si="45"/>
        <v>0</v>
      </c>
      <c r="AV298">
        <f t="shared" si="46"/>
        <v>0</v>
      </c>
      <c r="AW298">
        <f t="shared" si="47"/>
        <v>4</v>
      </c>
      <c r="AX298">
        <f t="shared" si="48"/>
        <v>2</v>
      </c>
      <c r="AY298">
        <f t="shared" si="49"/>
        <v>1</v>
      </c>
    </row>
    <row r="299" spans="38:52" x14ac:dyDescent="0.35">
      <c r="AL299" s="19" t="s">
        <v>69</v>
      </c>
      <c r="AM299">
        <f t="shared" si="38"/>
        <v>1</v>
      </c>
      <c r="AN299">
        <f t="shared" si="50"/>
        <v>0</v>
      </c>
      <c r="AO299">
        <f t="shared" si="39"/>
        <v>0</v>
      </c>
      <c r="AP299">
        <f t="shared" si="40"/>
        <v>0</v>
      </c>
      <c r="AQ299">
        <f t="shared" si="41"/>
        <v>0</v>
      </c>
      <c r="AR299">
        <f t="shared" si="42"/>
        <v>0</v>
      </c>
      <c r="AS299">
        <f t="shared" si="43"/>
        <v>0</v>
      </c>
      <c r="AT299">
        <f t="shared" si="44"/>
        <v>0</v>
      </c>
      <c r="AU299">
        <f t="shared" si="45"/>
        <v>0</v>
      </c>
      <c r="AV299">
        <f t="shared" si="46"/>
        <v>1</v>
      </c>
      <c r="AW299">
        <f t="shared" si="47"/>
        <v>0</v>
      </c>
      <c r="AX299">
        <f t="shared" si="48"/>
        <v>0</v>
      </c>
      <c r="AY299">
        <f t="shared" si="49"/>
        <v>0</v>
      </c>
    </row>
    <row r="300" spans="38:52" x14ac:dyDescent="0.35">
      <c r="AL300" s="19" t="s">
        <v>70</v>
      </c>
      <c r="AM300">
        <f t="shared" si="38"/>
        <v>1</v>
      </c>
      <c r="AN300">
        <f t="shared" si="50"/>
        <v>0</v>
      </c>
      <c r="AO300">
        <f t="shared" si="39"/>
        <v>0</v>
      </c>
      <c r="AP300">
        <f t="shared" si="40"/>
        <v>0</v>
      </c>
      <c r="AQ300">
        <f t="shared" si="41"/>
        <v>0</v>
      </c>
      <c r="AR300">
        <f t="shared" si="42"/>
        <v>0</v>
      </c>
      <c r="AS300">
        <f t="shared" si="43"/>
        <v>0</v>
      </c>
      <c r="AT300">
        <f t="shared" si="44"/>
        <v>0</v>
      </c>
      <c r="AU300">
        <f t="shared" si="45"/>
        <v>1</v>
      </c>
      <c r="AV300">
        <f t="shared" si="46"/>
        <v>2</v>
      </c>
      <c r="AW300">
        <f t="shared" si="47"/>
        <v>1</v>
      </c>
      <c r="AX300">
        <f t="shared" si="48"/>
        <v>0</v>
      </c>
      <c r="AY300">
        <f t="shared" si="49"/>
        <v>0</v>
      </c>
    </row>
    <row r="301" spans="38:52" x14ac:dyDescent="0.35">
      <c r="AL301" s="19" t="s">
        <v>71</v>
      </c>
      <c r="AM301">
        <f t="shared" si="38"/>
        <v>0</v>
      </c>
      <c r="AN301">
        <f t="shared" si="50"/>
        <v>1</v>
      </c>
      <c r="AO301">
        <f t="shared" si="39"/>
        <v>0</v>
      </c>
      <c r="AP301">
        <f t="shared" si="40"/>
        <v>0</v>
      </c>
      <c r="AQ301">
        <f t="shared" si="41"/>
        <v>0</v>
      </c>
      <c r="AR301">
        <f t="shared" si="42"/>
        <v>2</v>
      </c>
      <c r="AS301">
        <f t="shared" si="43"/>
        <v>0</v>
      </c>
      <c r="AT301">
        <f t="shared" si="44"/>
        <v>0</v>
      </c>
      <c r="AU301">
        <f t="shared" si="45"/>
        <v>1</v>
      </c>
      <c r="AV301">
        <f t="shared" si="46"/>
        <v>0</v>
      </c>
      <c r="AW301">
        <f t="shared" si="47"/>
        <v>0</v>
      </c>
      <c r="AX301">
        <f t="shared" si="48"/>
        <v>2</v>
      </c>
      <c r="AY301">
        <f t="shared" si="49"/>
        <v>0</v>
      </c>
    </row>
    <row r="302" spans="38:52" x14ac:dyDescent="0.35">
      <c r="AL302" s="19" t="s">
        <v>72</v>
      </c>
      <c r="AM302">
        <f t="shared" si="38"/>
        <v>4</v>
      </c>
      <c r="AN302">
        <f t="shared" si="50"/>
        <v>3</v>
      </c>
      <c r="AO302">
        <f t="shared" si="39"/>
        <v>5</v>
      </c>
      <c r="AP302">
        <f t="shared" si="40"/>
        <v>2</v>
      </c>
      <c r="AQ302">
        <f t="shared" si="41"/>
        <v>0</v>
      </c>
      <c r="AR302">
        <f t="shared" si="42"/>
        <v>4</v>
      </c>
      <c r="AS302">
        <f t="shared" si="43"/>
        <v>7</v>
      </c>
      <c r="AT302">
        <f t="shared" si="44"/>
        <v>6</v>
      </c>
      <c r="AU302">
        <f t="shared" si="45"/>
        <v>5</v>
      </c>
      <c r="AV302">
        <f t="shared" si="46"/>
        <v>5</v>
      </c>
      <c r="AW302">
        <f t="shared" si="47"/>
        <v>4</v>
      </c>
      <c r="AX302">
        <f t="shared" si="48"/>
        <v>0</v>
      </c>
      <c r="AY302">
        <f t="shared" si="49"/>
        <v>2</v>
      </c>
    </row>
    <row r="303" spans="38:52" x14ac:dyDescent="0.35">
      <c r="AL303" s="19" t="s">
        <v>73</v>
      </c>
      <c r="AM303">
        <f t="shared" si="38"/>
        <v>3</v>
      </c>
      <c r="AN303">
        <f t="shared" si="50"/>
        <v>2</v>
      </c>
      <c r="AO303">
        <f t="shared" si="39"/>
        <v>1</v>
      </c>
      <c r="AP303">
        <f t="shared" si="40"/>
        <v>0</v>
      </c>
      <c r="AQ303">
        <f t="shared" si="41"/>
        <v>0</v>
      </c>
      <c r="AR303">
        <f t="shared" si="42"/>
        <v>1</v>
      </c>
      <c r="AS303">
        <f t="shared" si="43"/>
        <v>2</v>
      </c>
      <c r="AT303">
        <f t="shared" si="44"/>
        <v>2</v>
      </c>
      <c r="AU303">
        <f t="shared" si="45"/>
        <v>3</v>
      </c>
      <c r="AV303">
        <f t="shared" si="46"/>
        <v>2</v>
      </c>
      <c r="AW303">
        <f t="shared" si="47"/>
        <v>4</v>
      </c>
      <c r="AX303">
        <f t="shared" si="48"/>
        <v>3</v>
      </c>
      <c r="AY303">
        <f t="shared" si="49"/>
        <v>3</v>
      </c>
    </row>
    <row r="304" spans="38:52" x14ac:dyDescent="0.35">
      <c r="AL304" s="19" t="s">
        <v>74</v>
      </c>
      <c r="AM304">
        <f t="shared" si="38"/>
        <v>7</v>
      </c>
      <c r="AN304">
        <f t="shared" si="50"/>
        <v>7</v>
      </c>
      <c r="AO304">
        <f t="shared" si="39"/>
        <v>5</v>
      </c>
      <c r="AP304">
        <f t="shared" si="40"/>
        <v>3</v>
      </c>
      <c r="AQ304">
        <f t="shared" si="41"/>
        <v>6</v>
      </c>
      <c r="AR304">
        <f t="shared" si="42"/>
        <v>5</v>
      </c>
      <c r="AS304">
        <f t="shared" si="43"/>
        <v>5</v>
      </c>
      <c r="AT304">
        <f t="shared" si="44"/>
        <v>5</v>
      </c>
      <c r="AU304">
        <f t="shared" si="45"/>
        <v>3</v>
      </c>
      <c r="AV304">
        <f t="shared" si="46"/>
        <v>5</v>
      </c>
      <c r="AW304">
        <f t="shared" si="47"/>
        <v>4</v>
      </c>
      <c r="AX304">
        <f t="shared" si="48"/>
        <v>5</v>
      </c>
      <c r="AY304">
        <f t="shared" si="49"/>
        <v>7</v>
      </c>
    </row>
    <row r="305" spans="38:51" x14ac:dyDescent="0.35">
      <c r="AL305" s="19" t="s">
        <v>75</v>
      </c>
      <c r="AM305">
        <f t="shared" si="38"/>
        <v>0</v>
      </c>
      <c r="AN305">
        <f t="shared" si="50"/>
        <v>0</v>
      </c>
      <c r="AO305">
        <f t="shared" si="39"/>
        <v>2</v>
      </c>
      <c r="AP305">
        <f t="shared" si="40"/>
        <v>0</v>
      </c>
      <c r="AQ305">
        <f t="shared" si="41"/>
        <v>0</v>
      </c>
      <c r="AR305">
        <f t="shared" si="42"/>
        <v>0</v>
      </c>
      <c r="AS305">
        <f t="shared" si="43"/>
        <v>0</v>
      </c>
      <c r="AT305">
        <f t="shared" si="44"/>
        <v>0</v>
      </c>
      <c r="AU305">
        <f t="shared" si="45"/>
        <v>0</v>
      </c>
      <c r="AV305">
        <f t="shared" si="46"/>
        <v>0</v>
      </c>
      <c r="AW305">
        <f t="shared" si="47"/>
        <v>0</v>
      </c>
      <c r="AX305">
        <f t="shared" si="48"/>
        <v>0</v>
      </c>
      <c r="AY305">
        <f t="shared" si="49"/>
        <v>0</v>
      </c>
    </row>
    <row r="306" spans="38:51" x14ac:dyDescent="0.35">
      <c r="AL306" s="19" t="s">
        <v>76</v>
      </c>
      <c r="AM306">
        <f t="shared" si="38"/>
        <v>4</v>
      </c>
      <c r="AN306">
        <f t="shared" si="50"/>
        <v>7</v>
      </c>
      <c r="AO306">
        <f t="shared" si="39"/>
        <v>6</v>
      </c>
      <c r="AP306">
        <f t="shared" si="40"/>
        <v>1</v>
      </c>
      <c r="AQ306">
        <f t="shared" si="41"/>
        <v>1</v>
      </c>
      <c r="AR306">
        <f t="shared" si="42"/>
        <v>4</v>
      </c>
      <c r="AS306">
        <f t="shared" si="43"/>
        <v>5</v>
      </c>
      <c r="AT306">
        <f t="shared" si="44"/>
        <v>3</v>
      </c>
      <c r="AU306">
        <f t="shared" si="45"/>
        <v>4</v>
      </c>
      <c r="AV306">
        <f t="shared" si="46"/>
        <v>5</v>
      </c>
      <c r="AW306">
        <f t="shared" si="47"/>
        <v>6</v>
      </c>
      <c r="AX306">
        <f t="shared" si="48"/>
        <v>5</v>
      </c>
      <c r="AY306">
        <f t="shared" si="49"/>
        <v>5</v>
      </c>
    </row>
    <row r="307" spans="38:51" x14ac:dyDescent="0.35">
      <c r="AL307" s="19" t="s">
        <v>77</v>
      </c>
      <c r="AM307">
        <f t="shared" si="38"/>
        <v>0</v>
      </c>
      <c r="AN307">
        <f t="shared" si="50"/>
        <v>0</v>
      </c>
      <c r="AO307">
        <f t="shared" si="39"/>
        <v>0</v>
      </c>
      <c r="AP307">
        <f t="shared" si="40"/>
        <v>0</v>
      </c>
      <c r="AQ307">
        <f t="shared" si="41"/>
        <v>1</v>
      </c>
      <c r="AR307">
        <f t="shared" si="42"/>
        <v>2</v>
      </c>
      <c r="AS307">
        <f t="shared" si="43"/>
        <v>2</v>
      </c>
      <c r="AT307">
        <f t="shared" si="44"/>
        <v>0</v>
      </c>
      <c r="AU307">
        <f t="shared" si="45"/>
        <v>4</v>
      </c>
      <c r="AV307">
        <f t="shared" si="46"/>
        <v>2</v>
      </c>
      <c r="AW307">
        <f t="shared" si="47"/>
        <v>1</v>
      </c>
      <c r="AX307">
        <f t="shared" si="48"/>
        <v>2</v>
      </c>
      <c r="AY307">
        <f t="shared" si="49"/>
        <v>3</v>
      </c>
    </row>
    <row r="308" spans="38:51" x14ac:dyDescent="0.35">
      <c r="AL308" s="19" t="s">
        <v>78</v>
      </c>
      <c r="AM308">
        <f t="shared" si="38"/>
        <v>4</v>
      </c>
      <c r="AN308">
        <f t="shared" si="50"/>
        <v>5</v>
      </c>
      <c r="AO308">
        <f t="shared" si="39"/>
        <v>2</v>
      </c>
      <c r="AP308">
        <f t="shared" si="40"/>
        <v>1</v>
      </c>
      <c r="AQ308">
        <f t="shared" si="41"/>
        <v>4</v>
      </c>
      <c r="AR308">
        <f t="shared" si="42"/>
        <v>6</v>
      </c>
      <c r="AS308">
        <f t="shared" si="43"/>
        <v>5</v>
      </c>
      <c r="AT308">
        <f t="shared" si="44"/>
        <v>5</v>
      </c>
      <c r="AU308">
        <f t="shared" si="45"/>
        <v>6</v>
      </c>
      <c r="AV308">
        <f t="shared" si="46"/>
        <v>6</v>
      </c>
      <c r="AW308">
        <f t="shared" si="47"/>
        <v>5</v>
      </c>
      <c r="AX308">
        <f t="shared" si="48"/>
        <v>5</v>
      </c>
      <c r="AY308">
        <f t="shared" si="49"/>
        <v>6</v>
      </c>
    </row>
    <row r="309" spans="38:51" x14ac:dyDescent="0.35">
      <c r="AL309" s="19" t="s">
        <v>79</v>
      </c>
      <c r="AM309">
        <f t="shared" si="38"/>
        <v>0</v>
      </c>
      <c r="AN309">
        <f t="shared" si="50"/>
        <v>0</v>
      </c>
      <c r="AO309">
        <f t="shared" si="39"/>
        <v>0</v>
      </c>
      <c r="AP309">
        <f t="shared" si="40"/>
        <v>0</v>
      </c>
      <c r="AQ309">
        <f t="shared" si="41"/>
        <v>0</v>
      </c>
      <c r="AR309">
        <f t="shared" si="42"/>
        <v>0</v>
      </c>
      <c r="AS309">
        <f t="shared" si="43"/>
        <v>0</v>
      </c>
      <c r="AT309">
        <f t="shared" si="44"/>
        <v>0</v>
      </c>
      <c r="AU309">
        <f t="shared" si="45"/>
        <v>0</v>
      </c>
      <c r="AV309">
        <f t="shared" si="46"/>
        <v>0</v>
      </c>
      <c r="AW309">
        <f t="shared" si="47"/>
        <v>0</v>
      </c>
      <c r="AX309">
        <f t="shared" si="48"/>
        <v>0</v>
      </c>
      <c r="AY309">
        <f t="shared" si="49"/>
        <v>0</v>
      </c>
    </row>
    <row r="310" spans="38:51" x14ac:dyDescent="0.35">
      <c r="AL310" s="19" t="s">
        <v>80</v>
      </c>
      <c r="AM310">
        <f t="shared" si="38"/>
        <v>7</v>
      </c>
      <c r="AN310">
        <f t="shared" si="50"/>
        <v>7</v>
      </c>
      <c r="AO310">
        <f t="shared" si="39"/>
        <v>7</v>
      </c>
      <c r="AP310">
        <f t="shared" si="40"/>
        <v>7</v>
      </c>
      <c r="AQ310">
        <f t="shared" si="41"/>
        <v>7</v>
      </c>
      <c r="AR310">
        <f t="shared" si="42"/>
        <v>6</v>
      </c>
      <c r="AS310">
        <f t="shared" si="43"/>
        <v>7</v>
      </c>
      <c r="AT310">
        <f t="shared" si="44"/>
        <v>7</v>
      </c>
      <c r="AU310">
        <f t="shared" si="45"/>
        <v>7</v>
      </c>
      <c r="AV310">
        <f t="shared" si="46"/>
        <v>6</v>
      </c>
      <c r="AW310">
        <f t="shared" si="47"/>
        <v>7</v>
      </c>
      <c r="AX310">
        <f t="shared" si="48"/>
        <v>5</v>
      </c>
      <c r="AY310">
        <f t="shared" si="49"/>
        <v>6</v>
      </c>
    </row>
    <row r="311" spans="38:51" x14ac:dyDescent="0.35">
      <c r="AL311" s="19" t="s">
        <v>81</v>
      </c>
      <c r="AM311">
        <f t="shared" si="38"/>
        <v>0</v>
      </c>
      <c r="AN311">
        <f t="shared" si="50"/>
        <v>3</v>
      </c>
      <c r="AO311">
        <f t="shared" si="39"/>
        <v>5</v>
      </c>
      <c r="AP311">
        <f t="shared" si="40"/>
        <v>2</v>
      </c>
      <c r="AQ311">
        <f t="shared" si="41"/>
        <v>0</v>
      </c>
      <c r="AR311">
        <f t="shared" si="42"/>
        <v>2</v>
      </c>
      <c r="AS311">
        <f t="shared" si="43"/>
        <v>2</v>
      </c>
      <c r="AT311">
        <f t="shared" si="44"/>
        <v>0</v>
      </c>
      <c r="AU311">
        <f t="shared" si="45"/>
        <v>0</v>
      </c>
      <c r="AV311">
        <f t="shared" si="46"/>
        <v>0</v>
      </c>
      <c r="AW311">
        <f t="shared" si="47"/>
        <v>0</v>
      </c>
      <c r="AX311">
        <f t="shared" si="48"/>
        <v>1</v>
      </c>
      <c r="AY311">
        <f t="shared" si="49"/>
        <v>3</v>
      </c>
    </row>
    <row r="312" spans="38:51" x14ac:dyDescent="0.35">
      <c r="AL312" s="19" t="s">
        <v>82</v>
      </c>
      <c r="AM312">
        <f t="shared" si="38"/>
        <v>7</v>
      </c>
      <c r="AN312">
        <f t="shared" si="50"/>
        <v>5</v>
      </c>
      <c r="AO312">
        <f t="shared" si="39"/>
        <v>3</v>
      </c>
      <c r="AP312">
        <f t="shared" si="40"/>
        <v>1</v>
      </c>
      <c r="AQ312">
        <f t="shared" si="41"/>
        <v>3</v>
      </c>
      <c r="AR312">
        <f t="shared" si="42"/>
        <v>7</v>
      </c>
      <c r="AS312">
        <f t="shared" si="43"/>
        <v>7</v>
      </c>
      <c r="AT312">
        <f t="shared" si="44"/>
        <v>4</v>
      </c>
      <c r="AU312">
        <f t="shared" si="45"/>
        <v>4</v>
      </c>
      <c r="AV312">
        <f t="shared" si="46"/>
        <v>6</v>
      </c>
      <c r="AW312">
        <f t="shared" si="47"/>
        <v>4</v>
      </c>
      <c r="AX312">
        <f t="shared" si="48"/>
        <v>3</v>
      </c>
      <c r="AY312">
        <f t="shared" si="49"/>
        <v>5</v>
      </c>
    </row>
    <row r="313" spans="38:51" x14ac:dyDescent="0.35">
      <c r="AL313" s="19" t="s">
        <v>83</v>
      </c>
      <c r="AM313">
        <f t="shared" si="38"/>
        <v>4</v>
      </c>
      <c r="AN313">
        <f t="shared" si="50"/>
        <v>4</v>
      </c>
      <c r="AO313">
        <f t="shared" si="39"/>
        <v>1</v>
      </c>
      <c r="AP313">
        <f t="shared" si="40"/>
        <v>2</v>
      </c>
      <c r="AQ313">
        <f t="shared" si="41"/>
        <v>2</v>
      </c>
      <c r="AR313">
        <f t="shared" si="42"/>
        <v>7</v>
      </c>
      <c r="AS313">
        <f t="shared" si="43"/>
        <v>7</v>
      </c>
      <c r="AT313">
        <f t="shared" si="44"/>
        <v>6</v>
      </c>
      <c r="AU313">
        <f t="shared" si="45"/>
        <v>6</v>
      </c>
      <c r="AV313">
        <f t="shared" si="46"/>
        <v>6</v>
      </c>
      <c r="AW313">
        <f t="shared" si="47"/>
        <v>7</v>
      </c>
      <c r="AX313">
        <f t="shared" si="48"/>
        <v>7</v>
      </c>
      <c r="AY313">
        <f t="shared" si="49"/>
        <v>5</v>
      </c>
    </row>
    <row r="314" spans="38:51" x14ac:dyDescent="0.35">
      <c r="AL314" s="19" t="s">
        <v>84</v>
      </c>
      <c r="AM314">
        <f t="shared" si="38"/>
        <v>6</v>
      </c>
      <c r="AN314">
        <f t="shared" si="50"/>
        <v>6</v>
      </c>
      <c r="AO314">
        <f t="shared" si="39"/>
        <v>6</v>
      </c>
      <c r="AP314">
        <f t="shared" si="40"/>
        <v>1</v>
      </c>
      <c r="AQ314">
        <f t="shared" si="41"/>
        <v>0</v>
      </c>
      <c r="AR314">
        <f t="shared" si="42"/>
        <v>2</v>
      </c>
      <c r="AS314">
        <f t="shared" si="43"/>
        <v>1</v>
      </c>
      <c r="AT314">
        <f t="shared" si="44"/>
        <v>1</v>
      </c>
      <c r="AU314">
        <f t="shared" si="45"/>
        <v>2</v>
      </c>
      <c r="AV314">
        <f t="shared" si="46"/>
        <v>1</v>
      </c>
      <c r="AW314">
        <f t="shared" si="47"/>
        <v>3</v>
      </c>
      <c r="AX314">
        <f t="shared" si="48"/>
        <v>1</v>
      </c>
      <c r="AY314">
        <f t="shared" si="49"/>
        <v>5</v>
      </c>
    </row>
    <row r="315" spans="38:51" x14ac:dyDescent="0.35">
      <c r="AL315" s="19" t="s">
        <v>85</v>
      </c>
      <c r="AM315">
        <f t="shared" si="38"/>
        <v>0</v>
      </c>
      <c r="AN315">
        <f t="shared" si="50"/>
        <v>0</v>
      </c>
      <c r="AO315">
        <f t="shared" si="39"/>
        <v>0</v>
      </c>
      <c r="AP315">
        <f t="shared" si="40"/>
        <v>2</v>
      </c>
      <c r="AQ315">
        <f t="shared" si="41"/>
        <v>0</v>
      </c>
      <c r="AR315">
        <f t="shared" si="42"/>
        <v>3</v>
      </c>
      <c r="AS315">
        <f t="shared" si="43"/>
        <v>1</v>
      </c>
      <c r="AT315">
        <f t="shared" si="44"/>
        <v>2</v>
      </c>
      <c r="AU315">
        <f t="shared" si="45"/>
        <v>3</v>
      </c>
      <c r="AV315">
        <f t="shared" si="46"/>
        <v>1</v>
      </c>
      <c r="AW315">
        <f t="shared" si="47"/>
        <v>0</v>
      </c>
      <c r="AX315">
        <f t="shared" si="48"/>
        <v>5</v>
      </c>
      <c r="AY315">
        <f t="shared" si="49"/>
        <v>3</v>
      </c>
    </row>
    <row r="316" spans="38:51" x14ac:dyDescent="0.35">
      <c r="AL316" s="19" t="s">
        <v>86</v>
      </c>
      <c r="AM316">
        <f t="shared" si="38"/>
        <v>0</v>
      </c>
      <c r="AN316">
        <f t="shared" si="50"/>
        <v>0</v>
      </c>
      <c r="AO316">
        <f t="shared" si="39"/>
        <v>0</v>
      </c>
      <c r="AP316">
        <f t="shared" si="40"/>
        <v>0</v>
      </c>
      <c r="AQ316">
        <f t="shared" si="41"/>
        <v>0</v>
      </c>
      <c r="AR316">
        <f t="shared" si="42"/>
        <v>0</v>
      </c>
      <c r="AS316">
        <f t="shared" si="43"/>
        <v>0</v>
      </c>
      <c r="AT316">
        <f t="shared" si="44"/>
        <v>0</v>
      </c>
      <c r="AU316">
        <f t="shared" si="45"/>
        <v>0</v>
      </c>
      <c r="AV316">
        <f t="shared" si="46"/>
        <v>0</v>
      </c>
      <c r="AW316">
        <f t="shared" si="47"/>
        <v>0</v>
      </c>
      <c r="AX316">
        <f t="shared" si="48"/>
        <v>0</v>
      </c>
      <c r="AY316">
        <f t="shared" si="49"/>
        <v>0</v>
      </c>
    </row>
    <row r="317" spans="38:51" x14ac:dyDescent="0.35">
      <c r="AL317" s="19" t="s">
        <v>87</v>
      </c>
      <c r="AM317">
        <f t="shared" si="38"/>
        <v>0</v>
      </c>
      <c r="AN317">
        <f t="shared" si="50"/>
        <v>0</v>
      </c>
      <c r="AO317">
        <f t="shared" si="39"/>
        <v>0</v>
      </c>
      <c r="AP317">
        <f t="shared" si="40"/>
        <v>0</v>
      </c>
      <c r="AQ317">
        <f t="shared" si="41"/>
        <v>0</v>
      </c>
      <c r="AR317">
        <f t="shared" si="42"/>
        <v>0</v>
      </c>
      <c r="AS317">
        <f t="shared" si="43"/>
        <v>0</v>
      </c>
      <c r="AT317">
        <f t="shared" si="44"/>
        <v>0</v>
      </c>
      <c r="AU317">
        <f t="shared" si="45"/>
        <v>0</v>
      </c>
      <c r="AV317">
        <f t="shared" si="46"/>
        <v>0</v>
      </c>
      <c r="AW317">
        <f t="shared" si="47"/>
        <v>0</v>
      </c>
      <c r="AX317">
        <f t="shared" si="48"/>
        <v>0</v>
      </c>
      <c r="AY317">
        <f t="shared" si="49"/>
        <v>1</v>
      </c>
    </row>
    <row r="318" spans="38:51" x14ac:dyDescent="0.35">
      <c r="AL318" s="19" t="s">
        <v>254</v>
      </c>
      <c r="AM318">
        <f t="shared" si="38"/>
        <v>0</v>
      </c>
      <c r="AN318">
        <f t="shared" si="50"/>
        <v>5</v>
      </c>
      <c r="AO318">
        <f t="shared" si="39"/>
        <v>1</v>
      </c>
      <c r="AP318">
        <f t="shared" si="40"/>
        <v>0</v>
      </c>
      <c r="AQ318">
        <f t="shared" si="41"/>
        <v>0</v>
      </c>
      <c r="AR318">
        <f t="shared" si="42"/>
        <v>1</v>
      </c>
      <c r="AS318">
        <f t="shared" si="43"/>
        <v>0</v>
      </c>
      <c r="AT318">
        <f t="shared" si="44"/>
        <v>0</v>
      </c>
      <c r="AU318">
        <f t="shared" si="45"/>
        <v>0</v>
      </c>
      <c r="AV318">
        <f t="shared" si="46"/>
        <v>2</v>
      </c>
      <c r="AW318">
        <f t="shared" si="47"/>
        <v>4</v>
      </c>
      <c r="AX318">
        <f t="shared" si="48"/>
        <v>3</v>
      </c>
      <c r="AY318">
        <f t="shared" si="49"/>
        <v>1</v>
      </c>
    </row>
    <row r="319" spans="38:51" x14ac:dyDescent="0.35">
      <c r="AL319" s="19" t="s">
        <v>88</v>
      </c>
      <c r="AM319">
        <f t="shared" si="38"/>
        <v>1</v>
      </c>
      <c r="AN319">
        <f t="shared" si="50"/>
        <v>3</v>
      </c>
      <c r="AO319">
        <f t="shared" si="39"/>
        <v>1</v>
      </c>
      <c r="AP319">
        <f t="shared" si="40"/>
        <v>0</v>
      </c>
      <c r="AQ319">
        <f t="shared" si="41"/>
        <v>0</v>
      </c>
      <c r="AR319">
        <f t="shared" si="42"/>
        <v>2</v>
      </c>
      <c r="AS319">
        <f t="shared" si="43"/>
        <v>1</v>
      </c>
      <c r="AT319">
        <f t="shared" si="44"/>
        <v>1</v>
      </c>
      <c r="AU319">
        <f t="shared" si="45"/>
        <v>3</v>
      </c>
      <c r="AV319">
        <f t="shared" si="46"/>
        <v>1</v>
      </c>
      <c r="AW319">
        <f t="shared" si="47"/>
        <v>3</v>
      </c>
      <c r="AX319">
        <f t="shared" si="48"/>
        <v>4</v>
      </c>
      <c r="AY319">
        <f t="shared" si="49"/>
        <v>4</v>
      </c>
    </row>
    <row r="320" spans="38:51" x14ac:dyDescent="0.35">
      <c r="AL320" s="19" t="s">
        <v>89</v>
      </c>
      <c r="AM320">
        <f t="shared" si="38"/>
        <v>0</v>
      </c>
      <c r="AN320">
        <f t="shared" si="50"/>
        <v>0</v>
      </c>
      <c r="AO320">
        <f t="shared" si="39"/>
        <v>0</v>
      </c>
      <c r="AP320">
        <f t="shared" si="40"/>
        <v>0</v>
      </c>
      <c r="AQ320">
        <f t="shared" si="41"/>
        <v>0</v>
      </c>
      <c r="AR320">
        <f t="shared" si="42"/>
        <v>0</v>
      </c>
      <c r="AS320">
        <f t="shared" si="43"/>
        <v>0</v>
      </c>
      <c r="AT320">
        <f t="shared" si="44"/>
        <v>0</v>
      </c>
      <c r="AU320">
        <f t="shared" si="45"/>
        <v>0</v>
      </c>
      <c r="AV320">
        <f t="shared" si="46"/>
        <v>0</v>
      </c>
      <c r="AW320">
        <f t="shared" si="47"/>
        <v>0</v>
      </c>
      <c r="AX320">
        <f t="shared" si="48"/>
        <v>0</v>
      </c>
      <c r="AY320">
        <f t="shared" si="49"/>
        <v>0</v>
      </c>
    </row>
    <row r="321" spans="38:51" x14ac:dyDescent="0.35">
      <c r="AL321" s="19" t="s">
        <v>90</v>
      </c>
      <c r="AM321">
        <f t="shared" si="38"/>
        <v>0</v>
      </c>
      <c r="AN321">
        <f t="shared" si="50"/>
        <v>3</v>
      </c>
      <c r="AO321">
        <f t="shared" si="39"/>
        <v>2</v>
      </c>
      <c r="AP321">
        <f t="shared" si="40"/>
        <v>0</v>
      </c>
      <c r="AQ321">
        <f t="shared" si="41"/>
        <v>0</v>
      </c>
      <c r="AR321">
        <f t="shared" si="42"/>
        <v>0</v>
      </c>
      <c r="AS321">
        <f t="shared" si="43"/>
        <v>0</v>
      </c>
      <c r="AT321">
        <f t="shared" si="44"/>
        <v>1</v>
      </c>
      <c r="AU321">
        <f t="shared" si="45"/>
        <v>0</v>
      </c>
      <c r="AV321">
        <f t="shared" si="46"/>
        <v>0</v>
      </c>
      <c r="AW321">
        <f t="shared" si="47"/>
        <v>3</v>
      </c>
      <c r="AX321">
        <f t="shared" si="48"/>
        <v>1</v>
      </c>
      <c r="AY321">
        <f t="shared" si="49"/>
        <v>0</v>
      </c>
    </row>
    <row r="322" spans="38:51" x14ac:dyDescent="0.35">
      <c r="AL322" s="19" t="s">
        <v>91</v>
      </c>
      <c r="AM322">
        <f t="shared" si="38"/>
        <v>0</v>
      </c>
      <c r="AN322">
        <f t="shared" si="50"/>
        <v>0</v>
      </c>
      <c r="AO322">
        <f t="shared" si="39"/>
        <v>0</v>
      </c>
      <c r="AP322">
        <f t="shared" si="40"/>
        <v>0</v>
      </c>
      <c r="AQ322">
        <f t="shared" si="41"/>
        <v>0</v>
      </c>
      <c r="AR322">
        <f t="shared" si="42"/>
        <v>3</v>
      </c>
      <c r="AS322">
        <f t="shared" si="43"/>
        <v>1</v>
      </c>
      <c r="AT322">
        <f t="shared" si="44"/>
        <v>4</v>
      </c>
      <c r="AU322">
        <f t="shared" si="45"/>
        <v>2</v>
      </c>
      <c r="AV322">
        <f t="shared" si="46"/>
        <v>0</v>
      </c>
      <c r="AW322">
        <f t="shared" si="47"/>
        <v>3</v>
      </c>
      <c r="AX322">
        <f t="shared" si="48"/>
        <v>3</v>
      </c>
      <c r="AY322">
        <f t="shared" si="49"/>
        <v>5</v>
      </c>
    </row>
    <row r="323" spans="38:51" x14ac:dyDescent="0.35">
      <c r="AL323" s="19" t="s">
        <v>92</v>
      </c>
      <c r="AM323">
        <f t="shared" si="38"/>
        <v>6</v>
      </c>
      <c r="AN323">
        <f t="shared" si="50"/>
        <v>7</v>
      </c>
      <c r="AO323">
        <f t="shared" si="39"/>
        <v>6</v>
      </c>
      <c r="AP323">
        <f t="shared" si="40"/>
        <v>3</v>
      </c>
      <c r="AQ323">
        <f t="shared" si="41"/>
        <v>1</v>
      </c>
      <c r="AR323">
        <f t="shared" si="42"/>
        <v>6</v>
      </c>
      <c r="AS323">
        <f t="shared" si="43"/>
        <v>7</v>
      </c>
      <c r="AT323">
        <f t="shared" si="44"/>
        <v>7</v>
      </c>
      <c r="AU323">
        <f t="shared" si="45"/>
        <v>4</v>
      </c>
      <c r="AV323">
        <f t="shared" si="46"/>
        <v>3</v>
      </c>
      <c r="AW323">
        <f t="shared" si="47"/>
        <v>7</v>
      </c>
      <c r="AX323">
        <f t="shared" si="48"/>
        <v>7</v>
      </c>
      <c r="AY323">
        <f t="shared" si="49"/>
        <v>7</v>
      </c>
    </row>
    <row r="324" spans="38:51" x14ac:dyDescent="0.35">
      <c r="AL324" s="19" t="s">
        <v>93</v>
      </c>
      <c r="AM324">
        <f t="shared" si="38"/>
        <v>1</v>
      </c>
      <c r="AN324">
        <f t="shared" si="50"/>
        <v>3</v>
      </c>
      <c r="AO324">
        <f t="shared" si="39"/>
        <v>1</v>
      </c>
      <c r="AP324">
        <f t="shared" si="40"/>
        <v>0</v>
      </c>
      <c r="AQ324">
        <f t="shared" si="41"/>
        <v>2</v>
      </c>
      <c r="AR324">
        <f t="shared" si="42"/>
        <v>4</v>
      </c>
      <c r="AS324">
        <f t="shared" si="43"/>
        <v>4</v>
      </c>
      <c r="AT324">
        <f t="shared" si="44"/>
        <v>2</v>
      </c>
      <c r="AU324">
        <f t="shared" si="45"/>
        <v>6</v>
      </c>
      <c r="AV324">
        <f t="shared" si="46"/>
        <v>4</v>
      </c>
      <c r="AW324">
        <f t="shared" si="47"/>
        <v>4</v>
      </c>
      <c r="AX324">
        <f t="shared" si="48"/>
        <v>5</v>
      </c>
      <c r="AY324">
        <f t="shared" si="49"/>
        <v>3</v>
      </c>
    </row>
    <row r="325" spans="38:51" x14ac:dyDescent="0.35">
      <c r="AL325" s="19" t="s">
        <v>94</v>
      </c>
      <c r="AM325">
        <f t="shared" si="38"/>
        <v>7</v>
      </c>
      <c r="AN325">
        <f t="shared" si="50"/>
        <v>7</v>
      </c>
      <c r="AO325">
        <f t="shared" si="39"/>
        <v>7</v>
      </c>
      <c r="AP325">
        <f t="shared" si="40"/>
        <v>2</v>
      </c>
      <c r="AQ325">
        <f t="shared" si="41"/>
        <v>0</v>
      </c>
      <c r="AR325">
        <f t="shared" si="42"/>
        <v>4</v>
      </c>
      <c r="AS325">
        <f t="shared" si="43"/>
        <v>7</v>
      </c>
      <c r="AT325">
        <f t="shared" si="44"/>
        <v>6</v>
      </c>
      <c r="AU325">
        <f t="shared" si="45"/>
        <v>5</v>
      </c>
      <c r="AV325">
        <f t="shared" si="46"/>
        <v>7</v>
      </c>
      <c r="AW325">
        <f t="shared" si="47"/>
        <v>6</v>
      </c>
      <c r="AX325">
        <f t="shared" si="48"/>
        <v>7</v>
      </c>
      <c r="AY325">
        <f t="shared" si="49"/>
        <v>7</v>
      </c>
    </row>
    <row r="326" spans="38:51" x14ac:dyDescent="0.35">
      <c r="AL326" s="19" t="s">
        <v>95</v>
      </c>
      <c r="AM326">
        <f t="shared" si="38"/>
        <v>0</v>
      </c>
      <c r="AN326">
        <f t="shared" si="50"/>
        <v>0</v>
      </c>
      <c r="AO326">
        <f t="shared" si="39"/>
        <v>0</v>
      </c>
      <c r="AP326">
        <f t="shared" si="40"/>
        <v>0</v>
      </c>
      <c r="AQ326">
        <f t="shared" si="41"/>
        <v>0</v>
      </c>
      <c r="AR326">
        <f t="shared" si="42"/>
        <v>0</v>
      </c>
      <c r="AS326">
        <f t="shared" si="43"/>
        <v>0</v>
      </c>
      <c r="AT326">
        <f t="shared" si="44"/>
        <v>0</v>
      </c>
      <c r="AU326">
        <f t="shared" si="45"/>
        <v>0</v>
      </c>
      <c r="AV326">
        <f t="shared" si="46"/>
        <v>0</v>
      </c>
      <c r="AW326">
        <f t="shared" si="47"/>
        <v>0</v>
      </c>
      <c r="AX326">
        <f t="shared" si="48"/>
        <v>0</v>
      </c>
      <c r="AY326">
        <f t="shared" si="49"/>
        <v>0</v>
      </c>
    </row>
    <row r="327" spans="38:51" x14ac:dyDescent="0.35">
      <c r="AL327" s="19" t="s">
        <v>96</v>
      </c>
      <c r="AM327">
        <f t="shared" si="38"/>
        <v>0</v>
      </c>
      <c r="AN327">
        <f t="shared" si="50"/>
        <v>0</v>
      </c>
      <c r="AO327">
        <f t="shared" si="39"/>
        <v>1</v>
      </c>
      <c r="AP327">
        <f t="shared" si="40"/>
        <v>0</v>
      </c>
      <c r="AQ327">
        <f t="shared" si="41"/>
        <v>0</v>
      </c>
      <c r="AR327">
        <f t="shared" si="42"/>
        <v>0</v>
      </c>
      <c r="AS327">
        <f t="shared" si="43"/>
        <v>0</v>
      </c>
      <c r="AT327">
        <f t="shared" si="44"/>
        <v>0</v>
      </c>
      <c r="AU327">
        <f t="shared" si="45"/>
        <v>0</v>
      </c>
      <c r="AV327">
        <f t="shared" si="46"/>
        <v>0</v>
      </c>
      <c r="AW327">
        <f t="shared" si="47"/>
        <v>0</v>
      </c>
      <c r="AX327">
        <f t="shared" si="48"/>
        <v>0</v>
      </c>
      <c r="AY327">
        <f t="shared" si="49"/>
        <v>0</v>
      </c>
    </row>
    <row r="328" spans="38:51" x14ac:dyDescent="0.35">
      <c r="AL328" s="19" t="s">
        <v>97</v>
      </c>
      <c r="AM328">
        <f t="shared" si="38"/>
        <v>7</v>
      </c>
      <c r="AN328">
        <f t="shared" si="50"/>
        <v>6</v>
      </c>
      <c r="AO328">
        <f t="shared" si="39"/>
        <v>5</v>
      </c>
      <c r="AP328">
        <f t="shared" si="40"/>
        <v>2</v>
      </c>
      <c r="AQ328">
        <f t="shared" si="41"/>
        <v>2</v>
      </c>
      <c r="AR328">
        <f t="shared" si="42"/>
        <v>3</v>
      </c>
      <c r="AS328">
        <f t="shared" si="43"/>
        <v>4</v>
      </c>
      <c r="AT328">
        <f t="shared" si="44"/>
        <v>0</v>
      </c>
      <c r="AU328">
        <f t="shared" si="45"/>
        <v>2</v>
      </c>
      <c r="AV328">
        <f t="shared" si="46"/>
        <v>2</v>
      </c>
      <c r="AW328">
        <f t="shared" si="47"/>
        <v>1</v>
      </c>
      <c r="AX328">
        <f t="shared" si="48"/>
        <v>2</v>
      </c>
      <c r="AY328">
        <f t="shared" si="49"/>
        <v>1</v>
      </c>
    </row>
    <row r="329" spans="38:51" x14ac:dyDescent="0.35">
      <c r="AL329" s="19" t="s">
        <v>98</v>
      </c>
      <c r="AM329">
        <f t="shared" si="38"/>
        <v>0</v>
      </c>
      <c r="AN329">
        <f t="shared" si="50"/>
        <v>0</v>
      </c>
      <c r="AO329">
        <f t="shared" si="39"/>
        <v>2</v>
      </c>
      <c r="AP329">
        <f t="shared" si="40"/>
        <v>1</v>
      </c>
      <c r="AQ329">
        <f t="shared" si="41"/>
        <v>1</v>
      </c>
      <c r="AR329">
        <f t="shared" si="42"/>
        <v>0</v>
      </c>
      <c r="AS329">
        <f t="shared" si="43"/>
        <v>0</v>
      </c>
      <c r="AT329">
        <f t="shared" si="44"/>
        <v>0</v>
      </c>
      <c r="AU329">
        <f t="shared" si="45"/>
        <v>0</v>
      </c>
      <c r="AV329">
        <f t="shared" si="46"/>
        <v>2</v>
      </c>
      <c r="AW329">
        <f t="shared" si="47"/>
        <v>0</v>
      </c>
      <c r="AX329">
        <f t="shared" si="48"/>
        <v>0</v>
      </c>
      <c r="AY329">
        <f t="shared" si="49"/>
        <v>0</v>
      </c>
    </row>
    <row r="330" spans="38:51" x14ac:dyDescent="0.35">
      <c r="AL330" s="19" t="s">
        <v>255</v>
      </c>
      <c r="AM330">
        <f t="shared" si="38"/>
        <v>0</v>
      </c>
      <c r="AN330">
        <f t="shared" si="50"/>
        <v>0</v>
      </c>
      <c r="AO330">
        <f t="shared" si="39"/>
        <v>0</v>
      </c>
      <c r="AP330">
        <f t="shared" si="40"/>
        <v>0</v>
      </c>
      <c r="AQ330">
        <f t="shared" si="41"/>
        <v>0</v>
      </c>
      <c r="AR330">
        <f t="shared" si="42"/>
        <v>0</v>
      </c>
      <c r="AS330">
        <f t="shared" si="43"/>
        <v>1</v>
      </c>
      <c r="AT330">
        <f t="shared" si="44"/>
        <v>3</v>
      </c>
      <c r="AU330">
        <f t="shared" si="45"/>
        <v>3</v>
      </c>
      <c r="AV330">
        <f t="shared" si="46"/>
        <v>1</v>
      </c>
      <c r="AW330">
        <f t="shared" si="47"/>
        <v>0</v>
      </c>
      <c r="AX330">
        <f t="shared" si="48"/>
        <v>0</v>
      </c>
      <c r="AY330">
        <f t="shared" si="49"/>
        <v>1</v>
      </c>
    </row>
    <row r="331" spans="38:51" x14ac:dyDescent="0.35">
      <c r="AL331" s="19" t="s">
        <v>99</v>
      </c>
      <c r="AM331">
        <f t="shared" si="38"/>
        <v>0</v>
      </c>
      <c r="AN331">
        <f t="shared" si="50"/>
        <v>0</v>
      </c>
      <c r="AO331">
        <f t="shared" si="39"/>
        <v>0</v>
      </c>
      <c r="AP331">
        <f t="shared" si="40"/>
        <v>0</v>
      </c>
      <c r="AQ331">
        <f t="shared" si="41"/>
        <v>0</v>
      </c>
      <c r="AR331">
        <f t="shared" si="42"/>
        <v>0</v>
      </c>
      <c r="AS331">
        <f t="shared" si="43"/>
        <v>0</v>
      </c>
      <c r="AT331">
        <f t="shared" si="44"/>
        <v>0</v>
      </c>
      <c r="AU331">
        <f t="shared" si="45"/>
        <v>0</v>
      </c>
      <c r="AV331">
        <f t="shared" si="46"/>
        <v>0</v>
      </c>
      <c r="AW331">
        <f t="shared" si="47"/>
        <v>0</v>
      </c>
      <c r="AX331">
        <f t="shared" si="48"/>
        <v>0</v>
      </c>
      <c r="AY331">
        <f t="shared" si="49"/>
        <v>0</v>
      </c>
    </row>
    <row r="332" spans="38:51" x14ac:dyDescent="0.35">
      <c r="AL332" s="19" t="s">
        <v>100</v>
      </c>
      <c r="AM332">
        <f t="shared" si="38"/>
        <v>0</v>
      </c>
      <c r="AN332">
        <f t="shared" si="50"/>
        <v>0</v>
      </c>
      <c r="AO332">
        <f t="shared" si="39"/>
        <v>0</v>
      </c>
      <c r="AP332">
        <f t="shared" si="40"/>
        <v>0</v>
      </c>
      <c r="AQ332">
        <f t="shared" si="41"/>
        <v>0</v>
      </c>
      <c r="AR332">
        <f t="shared" si="42"/>
        <v>1</v>
      </c>
      <c r="AS332">
        <f t="shared" si="43"/>
        <v>0</v>
      </c>
      <c r="AT332">
        <f t="shared" si="44"/>
        <v>1</v>
      </c>
      <c r="AU332">
        <f t="shared" si="45"/>
        <v>2</v>
      </c>
      <c r="AV332">
        <f t="shared" si="46"/>
        <v>0</v>
      </c>
      <c r="AW332">
        <f t="shared" si="47"/>
        <v>0</v>
      </c>
      <c r="AX332">
        <f t="shared" si="48"/>
        <v>2</v>
      </c>
      <c r="AY332">
        <f t="shared" si="49"/>
        <v>5</v>
      </c>
    </row>
    <row r="333" spans="38:51" x14ac:dyDescent="0.35">
      <c r="AL333" s="19" t="s">
        <v>101</v>
      </c>
      <c r="AM333">
        <f t="shared" si="38"/>
        <v>0</v>
      </c>
      <c r="AN333">
        <f t="shared" si="50"/>
        <v>0</v>
      </c>
      <c r="AO333">
        <f t="shared" si="39"/>
        <v>0</v>
      </c>
      <c r="AP333">
        <f t="shared" si="40"/>
        <v>0</v>
      </c>
      <c r="AQ333">
        <f t="shared" si="41"/>
        <v>0</v>
      </c>
      <c r="AR333">
        <f t="shared" si="42"/>
        <v>0</v>
      </c>
      <c r="AS333">
        <f t="shared" si="43"/>
        <v>3</v>
      </c>
      <c r="AT333">
        <f t="shared" si="44"/>
        <v>0</v>
      </c>
      <c r="AU333">
        <f t="shared" si="45"/>
        <v>3</v>
      </c>
      <c r="AV333">
        <f t="shared" si="46"/>
        <v>5</v>
      </c>
      <c r="AW333">
        <f t="shared" si="47"/>
        <v>5</v>
      </c>
      <c r="AX333">
        <f t="shared" si="48"/>
        <v>3</v>
      </c>
      <c r="AY333">
        <f t="shared" si="49"/>
        <v>5</v>
      </c>
    </row>
    <row r="334" spans="38:51" x14ac:dyDescent="0.35">
      <c r="AL334" s="19" t="s">
        <v>102</v>
      </c>
      <c r="AM334">
        <f t="shared" si="38"/>
        <v>7</v>
      </c>
      <c r="AN334">
        <f t="shared" si="50"/>
        <v>7</v>
      </c>
      <c r="AO334">
        <f t="shared" si="39"/>
        <v>7</v>
      </c>
      <c r="AP334">
        <f t="shared" si="40"/>
        <v>3</v>
      </c>
      <c r="AQ334">
        <f t="shared" si="41"/>
        <v>5</v>
      </c>
      <c r="AR334">
        <f t="shared" si="42"/>
        <v>4</v>
      </c>
      <c r="AS334">
        <f t="shared" si="43"/>
        <v>5</v>
      </c>
      <c r="AT334">
        <f t="shared" si="44"/>
        <v>5</v>
      </c>
      <c r="AU334">
        <f t="shared" si="45"/>
        <v>7</v>
      </c>
      <c r="AV334">
        <f t="shared" si="46"/>
        <v>7</v>
      </c>
      <c r="AW334">
        <f t="shared" si="47"/>
        <v>4</v>
      </c>
      <c r="AX334">
        <f t="shared" si="48"/>
        <v>5</v>
      </c>
      <c r="AY334">
        <f t="shared" si="49"/>
        <v>5</v>
      </c>
    </row>
    <row r="335" spans="38:51" x14ac:dyDescent="0.35">
      <c r="AL335" s="19" t="s">
        <v>103</v>
      </c>
      <c r="AM335">
        <f t="shared" si="38"/>
        <v>6</v>
      </c>
      <c r="AN335">
        <f>COUNTIF($AU51:$BA51,"&gt;=95%")</f>
        <v>6</v>
      </c>
      <c r="AO335">
        <f t="shared" si="39"/>
        <v>6</v>
      </c>
      <c r="AP335">
        <f t="shared" si="40"/>
        <v>2</v>
      </c>
      <c r="AQ335">
        <f t="shared" si="41"/>
        <v>0</v>
      </c>
      <c r="AR335">
        <f t="shared" si="42"/>
        <v>3</v>
      </c>
      <c r="AS335">
        <f t="shared" si="43"/>
        <v>0</v>
      </c>
      <c r="AT335">
        <f t="shared" si="44"/>
        <v>2</v>
      </c>
      <c r="AU335">
        <f t="shared" si="45"/>
        <v>4</v>
      </c>
      <c r="AV335">
        <f t="shared" si="46"/>
        <v>7</v>
      </c>
      <c r="AW335">
        <f t="shared" si="47"/>
        <v>3</v>
      </c>
      <c r="AX335">
        <f t="shared" si="48"/>
        <v>6</v>
      </c>
      <c r="AY335">
        <f t="shared" si="49"/>
        <v>7</v>
      </c>
    </row>
    <row r="336" spans="38:51" x14ac:dyDescent="0.35">
      <c r="AL336" s="19" t="s">
        <v>104</v>
      </c>
      <c r="AM336">
        <f t="shared" si="38"/>
        <v>4</v>
      </c>
      <c r="AN336">
        <f t="shared" si="50"/>
        <v>7</v>
      </c>
      <c r="AO336">
        <f t="shared" si="39"/>
        <v>6</v>
      </c>
      <c r="AP336">
        <f t="shared" si="40"/>
        <v>1</v>
      </c>
      <c r="AQ336">
        <f t="shared" si="41"/>
        <v>0</v>
      </c>
      <c r="AR336">
        <f t="shared" si="42"/>
        <v>2</v>
      </c>
      <c r="AS336">
        <f t="shared" si="43"/>
        <v>3</v>
      </c>
      <c r="AT336">
        <f t="shared" si="44"/>
        <v>0</v>
      </c>
      <c r="AU336">
        <f t="shared" si="45"/>
        <v>1</v>
      </c>
      <c r="AV336">
        <f t="shared" si="46"/>
        <v>6</v>
      </c>
      <c r="AW336">
        <f t="shared" si="47"/>
        <v>7</v>
      </c>
      <c r="AX336">
        <f t="shared" si="48"/>
        <v>7</v>
      </c>
      <c r="AY336">
        <f t="shared" si="49"/>
        <v>7</v>
      </c>
    </row>
    <row r="337" spans="38:51" x14ac:dyDescent="0.35">
      <c r="AL337" s="19" t="s">
        <v>105</v>
      </c>
      <c r="AM337">
        <f t="shared" si="38"/>
        <v>7</v>
      </c>
      <c r="AN337">
        <f t="shared" si="50"/>
        <v>7</v>
      </c>
      <c r="AO337">
        <f t="shared" si="39"/>
        <v>7</v>
      </c>
      <c r="AP337">
        <f t="shared" si="40"/>
        <v>2</v>
      </c>
      <c r="AQ337">
        <f t="shared" si="41"/>
        <v>2</v>
      </c>
      <c r="AR337">
        <f t="shared" si="42"/>
        <v>4</v>
      </c>
      <c r="AS337">
        <f t="shared" si="43"/>
        <v>6</v>
      </c>
      <c r="AT337">
        <f t="shared" si="44"/>
        <v>7</v>
      </c>
      <c r="AU337">
        <f t="shared" si="45"/>
        <v>7</v>
      </c>
      <c r="AV337">
        <f t="shared" si="46"/>
        <v>7</v>
      </c>
      <c r="AW337">
        <f t="shared" si="47"/>
        <v>6</v>
      </c>
      <c r="AX337">
        <f t="shared" si="48"/>
        <v>6</v>
      </c>
      <c r="AY337">
        <f t="shared" si="49"/>
        <v>5</v>
      </c>
    </row>
    <row r="338" spans="38:51" x14ac:dyDescent="0.35">
      <c r="AL338" s="19" t="s">
        <v>106</v>
      </c>
      <c r="AM338">
        <f t="shared" si="38"/>
        <v>6</v>
      </c>
      <c r="AN338">
        <f t="shared" si="50"/>
        <v>7</v>
      </c>
      <c r="AO338">
        <f t="shared" si="39"/>
        <v>7</v>
      </c>
      <c r="AP338">
        <f t="shared" si="40"/>
        <v>1</v>
      </c>
      <c r="AQ338">
        <f t="shared" si="41"/>
        <v>1</v>
      </c>
      <c r="AR338">
        <f t="shared" si="42"/>
        <v>2</v>
      </c>
      <c r="AS338">
        <f t="shared" si="43"/>
        <v>0</v>
      </c>
      <c r="AT338">
        <f t="shared" si="44"/>
        <v>5</v>
      </c>
      <c r="AU338">
        <f t="shared" si="45"/>
        <v>7</v>
      </c>
      <c r="AV338">
        <f t="shared" si="46"/>
        <v>6</v>
      </c>
      <c r="AW338">
        <f t="shared" si="47"/>
        <v>7</v>
      </c>
      <c r="AX338">
        <f t="shared" si="48"/>
        <v>7</v>
      </c>
      <c r="AY338">
        <f t="shared" si="49"/>
        <v>7</v>
      </c>
    </row>
    <row r="339" spans="38:51" x14ac:dyDescent="0.35">
      <c r="AL339" s="19" t="s">
        <v>107</v>
      </c>
      <c r="AM339">
        <f t="shared" si="38"/>
        <v>6</v>
      </c>
      <c r="AN339">
        <f t="shared" si="50"/>
        <v>7</v>
      </c>
      <c r="AO339">
        <f t="shared" si="39"/>
        <v>7</v>
      </c>
      <c r="AP339">
        <f t="shared" si="40"/>
        <v>2</v>
      </c>
      <c r="AQ339">
        <f t="shared" si="41"/>
        <v>4</v>
      </c>
      <c r="AR339">
        <f t="shared" si="42"/>
        <v>5</v>
      </c>
      <c r="AS339">
        <f t="shared" si="43"/>
        <v>4</v>
      </c>
      <c r="AT339">
        <f t="shared" si="44"/>
        <v>5</v>
      </c>
      <c r="AU339">
        <f t="shared" si="45"/>
        <v>6</v>
      </c>
      <c r="AV339">
        <f t="shared" si="46"/>
        <v>5</v>
      </c>
      <c r="AW339">
        <f t="shared" si="47"/>
        <v>4</v>
      </c>
      <c r="AX339">
        <f t="shared" si="48"/>
        <v>3</v>
      </c>
      <c r="AY339">
        <f t="shared" si="49"/>
        <v>0</v>
      </c>
    </row>
    <row r="340" spans="38:51" x14ac:dyDescent="0.35">
      <c r="AL340" s="19" t="s">
        <v>256</v>
      </c>
      <c r="AM340">
        <f t="shared" si="38"/>
        <v>0</v>
      </c>
      <c r="AN340">
        <f t="shared" si="50"/>
        <v>0</v>
      </c>
      <c r="AO340">
        <f t="shared" si="39"/>
        <v>0</v>
      </c>
      <c r="AP340">
        <f t="shared" si="40"/>
        <v>0</v>
      </c>
      <c r="AQ340">
        <f t="shared" si="41"/>
        <v>0</v>
      </c>
      <c r="AR340">
        <f t="shared" si="42"/>
        <v>0</v>
      </c>
      <c r="AS340">
        <f t="shared" si="43"/>
        <v>4</v>
      </c>
      <c r="AT340">
        <f t="shared" si="44"/>
        <v>2</v>
      </c>
      <c r="AU340">
        <f t="shared" si="45"/>
        <v>0</v>
      </c>
      <c r="AV340">
        <f t="shared" si="46"/>
        <v>0</v>
      </c>
      <c r="AW340">
        <f t="shared" si="47"/>
        <v>1</v>
      </c>
      <c r="AX340">
        <f t="shared" si="48"/>
        <v>1</v>
      </c>
      <c r="AY340">
        <f t="shared" si="49"/>
        <v>0</v>
      </c>
    </row>
    <row r="341" spans="38:51" x14ac:dyDescent="0.35">
      <c r="AL341" s="19" t="s">
        <v>215</v>
      </c>
      <c r="AM341">
        <f t="shared" si="38"/>
        <v>7</v>
      </c>
      <c r="AN341">
        <f t="shared" si="50"/>
        <v>7</v>
      </c>
      <c r="AO341">
        <f t="shared" si="39"/>
        <v>6</v>
      </c>
      <c r="AP341">
        <f t="shared" si="40"/>
        <v>1</v>
      </c>
      <c r="AQ341">
        <f t="shared" si="41"/>
        <v>0</v>
      </c>
      <c r="AR341">
        <f t="shared" si="42"/>
        <v>0</v>
      </c>
      <c r="AS341">
        <f t="shared" si="43"/>
        <v>3</v>
      </c>
      <c r="AT341">
        <f t="shared" si="44"/>
        <v>1</v>
      </c>
      <c r="AU341">
        <f t="shared" si="45"/>
        <v>2</v>
      </c>
      <c r="AV341">
        <f t="shared" si="46"/>
        <v>5</v>
      </c>
      <c r="AW341">
        <f t="shared" si="47"/>
        <v>6</v>
      </c>
      <c r="AX341">
        <f t="shared" si="48"/>
        <v>5</v>
      </c>
      <c r="AY341">
        <f t="shared" si="49"/>
        <v>1</v>
      </c>
    </row>
    <row r="342" spans="38:51" x14ac:dyDescent="0.35">
      <c r="AL342" s="19" t="s">
        <v>108</v>
      </c>
      <c r="AM342">
        <f t="shared" si="38"/>
        <v>0</v>
      </c>
      <c r="AN342">
        <f t="shared" si="50"/>
        <v>2</v>
      </c>
      <c r="AO342">
        <f t="shared" si="39"/>
        <v>0</v>
      </c>
      <c r="AP342">
        <f t="shared" si="40"/>
        <v>0</v>
      </c>
      <c r="AQ342">
        <f t="shared" si="41"/>
        <v>0</v>
      </c>
      <c r="AR342">
        <f t="shared" si="42"/>
        <v>0</v>
      </c>
      <c r="AS342">
        <f t="shared" si="43"/>
        <v>0</v>
      </c>
      <c r="AT342">
        <f t="shared" si="44"/>
        <v>0</v>
      </c>
      <c r="AU342">
        <f t="shared" si="45"/>
        <v>0</v>
      </c>
      <c r="AV342">
        <f t="shared" si="46"/>
        <v>1</v>
      </c>
      <c r="AW342">
        <f t="shared" si="47"/>
        <v>0</v>
      </c>
      <c r="AX342">
        <f t="shared" si="48"/>
        <v>0</v>
      </c>
      <c r="AY342">
        <f t="shared" si="49"/>
        <v>0</v>
      </c>
    </row>
    <row r="343" spans="38:51" x14ac:dyDescent="0.35">
      <c r="AL343" s="19" t="s">
        <v>109</v>
      </c>
      <c r="AM343">
        <f t="shared" si="38"/>
        <v>0</v>
      </c>
      <c r="AN343">
        <f t="shared" si="50"/>
        <v>0</v>
      </c>
      <c r="AO343">
        <f t="shared" si="39"/>
        <v>0</v>
      </c>
      <c r="AP343">
        <f t="shared" si="40"/>
        <v>0</v>
      </c>
      <c r="AQ343">
        <f t="shared" si="41"/>
        <v>0</v>
      </c>
      <c r="AR343">
        <f t="shared" si="42"/>
        <v>0</v>
      </c>
      <c r="AS343">
        <f t="shared" si="43"/>
        <v>0</v>
      </c>
      <c r="AT343">
        <f t="shared" si="44"/>
        <v>0</v>
      </c>
      <c r="AU343">
        <f t="shared" si="45"/>
        <v>0</v>
      </c>
      <c r="AV343">
        <f t="shared" si="46"/>
        <v>0</v>
      </c>
      <c r="AW343">
        <f t="shared" si="47"/>
        <v>0</v>
      </c>
      <c r="AX343">
        <f t="shared" si="48"/>
        <v>0</v>
      </c>
      <c r="AY343">
        <f t="shared" si="49"/>
        <v>0</v>
      </c>
    </row>
    <row r="344" spans="38:51" x14ac:dyDescent="0.35">
      <c r="AL344" s="19" t="s">
        <v>110</v>
      </c>
      <c r="AM344">
        <f t="shared" si="38"/>
        <v>0</v>
      </c>
      <c r="AN344">
        <f t="shared" si="50"/>
        <v>0</v>
      </c>
      <c r="AO344">
        <f t="shared" si="39"/>
        <v>0</v>
      </c>
      <c r="AP344">
        <f t="shared" si="40"/>
        <v>0</v>
      </c>
      <c r="AQ344">
        <f t="shared" si="41"/>
        <v>0</v>
      </c>
      <c r="AR344">
        <f t="shared" si="42"/>
        <v>0</v>
      </c>
      <c r="AS344">
        <f t="shared" si="43"/>
        <v>0</v>
      </c>
      <c r="AT344">
        <f t="shared" si="44"/>
        <v>0</v>
      </c>
      <c r="AU344">
        <f t="shared" si="45"/>
        <v>0</v>
      </c>
      <c r="AV344">
        <f t="shared" si="46"/>
        <v>0</v>
      </c>
      <c r="AW344">
        <f t="shared" si="47"/>
        <v>0</v>
      </c>
      <c r="AX344">
        <f t="shared" si="48"/>
        <v>0</v>
      </c>
      <c r="AY344">
        <f t="shared" si="49"/>
        <v>0</v>
      </c>
    </row>
    <row r="345" spans="38:51" x14ac:dyDescent="0.35">
      <c r="AL345" s="19" t="s">
        <v>288</v>
      </c>
      <c r="AM345">
        <f t="shared" si="38"/>
        <v>4</v>
      </c>
      <c r="AN345">
        <f t="shared" si="50"/>
        <v>3</v>
      </c>
      <c r="AO345">
        <f t="shared" si="39"/>
        <v>1</v>
      </c>
      <c r="AP345">
        <f t="shared" si="40"/>
        <v>0</v>
      </c>
      <c r="AQ345">
        <f t="shared" si="41"/>
        <v>0</v>
      </c>
      <c r="AR345">
        <f t="shared" si="42"/>
        <v>0</v>
      </c>
      <c r="AS345">
        <f t="shared" si="43"/>
        <v>0</v>
      </c>
      <c r="AT345">
        <f t="shared" si="44"/>
        <v>0</v>
      </c>
      <c r="AU345">
        <f t="shared" si="45"/>
        <v>0</v>
      </c>
      <c r="AV345">
        <f t="shared" si="46"/>
        <v>0</v>
      </c>
      <c r="AW345">
        <f t="shared" si="47"/>
        <v>0</v>
      </c>
      <c r="AX345">
        <f t="shared" si="48"/>
        <v>0</v>
      </c>
      <c r="AY345">
        <f t="shared" si="49"/>
        <v>0</v>
      </c>
    </row>
    <row r="346" spans="38:51" x14ac:dyDescent="0.35">
      <c r="AL346" s="19" t="s">
        <v>111</v>
      </c>
      <c r="AM346">
        <f t="shared" si="38"/>
        <v>0</v>
      </c>
      <c r="AN346">
        <f t="shared" si="50"/>
        <v>2</v>
      </c>
      <c r="AO346">
        <f t="shared" si="39"/>
        <v>0</v>
      </c>
      <c r="AP346">
        <f t="shared" si="40"/>
        <v>1</v>
      </c>
      <c r="AQ346">
        <f t="shared" si="41"/>
        <v>5</v>
      </c>
      <c r="AR346">
        <f t="shared" si="42"/>
        <v>6</v>
      </c>
      <c r="AS346">
        <f t="shared" si="43"/>
        <v>3</v>
      </c>
      <c r="AT346">
        <f t="shared" si="44"/>
        <v>4</v>
      </c>
      <c r="AU346">
        <f t="shared" si="45"/>
        <v>3</v>
      </c>
      <c r="AV346">
        <f t="shared" si="46"/>
        <v>1</v>
      </c>
      <c r="AW346">
        <f t="shared" si="47"/>
        <v>2</v>
      </c>
      <c r="AX346">
        <f t="shared" si="48"/>
        <v>4</v>
      </c>
      <c r="AY346">
        <f t="shared" si="49"/>
        <v>2</v>
      </c>
    </row>
    <row r="347" spans="38:51" x14ac:dyDescent="0.35">
      <c r="AL347" s="19" t="s">
        <v>112</v>
      </c>
      <c r="AM347">
        <f t="shared" si="38"/>
        <v>3</v>
      </c>
      <c r="AN347">
        <f t="shared" si="50"/>
        <v>3</v>
      </c>
      <c r="AO347">
        <f t="shared" si="39"/>
        <v>2</v>
      </c>
      <c r="AP347">
        <f t="shared" si="40"/>
        <v>0</v>
      </c>
      <c r="AQ347">
        <f t="shared" si="41"/>
        <v>2</v>
      </c>
      <c r="AR347">
        <f t="shared" si="42"/>
        <v>0</v>
      </c>
      <c r="AS347">
        <f t="shared" si="43"/>
        <v>0</v>
      </c>
      <c r="AT347">
        <f t="shared" si="44"/>
        <v>0</v>
      </c>
      <c r="AU347">
        <f t="shared" si="45"/>
        <v>0</v>
      </c>
      <c r="AV347">
        <f t="shared" si="46"/>
        <v>0</v>
      </c>
      <c r="AW347">
        <f t="shared" si="47"/>
        <v>0</v>
      </c>
      <c r="AX347">
        <f t="shared" si="48"/>
        <v>0</v>
      </c>
      <c r="AY347">
        <f t="shared" si="49"/>
        <v>0</v>
      </c>
    </row>
    <row r="348" spans="38:51" x14ac:dyDescent="0.35">
      <c r="AL348" s="19" t="s">
        <v>113</v>
      </c>
      <c r="AM348">
        <f t="shared" si="38"/>
        <v>0</v>
      </c>
      <c r="AN348">
        <f t="shared" si="50"/>
        <v>1</v>
      </c>
      <c r="AO348">
        <f t="shared" si="39"/>
        <v>1</v>
      </c>
      <c r="AP348">
        <f t="shared" si="40"/>
        <v>0</v>
      </c>
      <c r="AQ348">
        <f t="shared" si="41"/>
        <v>0</v>
      </c>
      <c r="AR348">
        <f t="shared" si="42"/>
        <v>0</v>
      </c>
      <c r="AS348">
        <f t="shared" si="43"/>
        <v>0</v>
      </c>
      <c r="AT348">
        <f t="shared" si="44"/>
        <v>0</v>
      </c>
      <c r="AU348">
        <f t="shared" si="45"/>
        <v>0</v>
      </c>
      <c r="AV348">
        <f t="shared" si="46"/>
        <v>2</v>
      </c>
      <c r="AW348">
        <f t="shared" si="47"/>
        <v>0</v>
      </c>
      <c r="AX348">
        <f t="shared" si="48"/>
        <v>1</v>
      </c>
      <c r="AY348">
        <f t="shared" si="49"/>
        <v>1</v>
      </c>
    </row>
    <row r="349" spans="38:51" x14ac:dyDescent="0.35">
      <c r="AL349" s="19" t="s">
        <v>114</v>
      </c>
      <c r="AM349">
        <f t="shared" si="38"/>
        <v>0</v>
      </c>
      <c r="AN349">
        <f t="shared" si="50"/>
        <v>1</v>
      </c>
      <c r="AO349">
        <f t="shared" si="39"/>
        <v>2</v>
      </c>
      <c r="AP349">
        <f t="shared" si="40"/>
        <v>0</v>
      </c>
      <c r="AQ349">
        <f t="shared" si="41"/>
        <v>0</v>
      </c>
      <c r="AR349">
        <f t="shared" si="42"/>
        <v>0</v>
      </c>
      <c r="AS349">
        <f t="shared" si="43"/>
        <v>0</v>
      </c>
      <c r="AT349">
        <f t="shared" si="44"/>
        <v>0</v>
      </c>
      <c r="AU349">
        <f t="shared" si="45"/>
        <v>0</v>
      </c>
      <c r="AV349">
        <f t="shared" si="46"/>
        <v>0</v>
      </c>
      <c r="AW349">
        <f t="shared" si="47"/>
        <v>0</v>
      </c>
      <c r="AX349">
        <f t="shared" si="48"/>
        <v>0</v>
      </c>
      <c r="AY349">
        <f t="shared" si="49"/>
        <v>0</v>
      </c>
    </row>
    <row r="350" spans="38:51" x14ac:dyDescent="0.35">
      <c r="AL350" s="19" t="s">
        <v>115</v>
      </c>
      <c r="AM350">
        <f t="shared" si="38"/>
        <v>7</v>
      </c>
      <c r="AN350">
        <f t="shared" si="50"/>
        <v>7</v>
      </c>
      <c r="AO350">
        <f t="shared" si="39"/>
        <v>7</v>
      </c>
      <c r="AP350">
        <f t="shared" si="40"/>
        <v>3</v>
      </c>
      <c r="AQ350">
        <f t="shared" si="41"/>
        <v>5</v>
      </c>
      <c r="AR350">
        <f t="shared" si="42"/>
        <v>7</v>
      </c>
      <c r="AS350">
        <f t="shared" si="43"/>
        <v>7</v>
      </c>
      <c r="AT350">
        <f t="shared" si="44"/>
        <v>7</v>
      </c>
      <c r="AU350">
        <f t="shared" si="45"/>
        <v>7</v>
      </c>
      <c r="AV350">
        <f t="shared" si="46"/>
        <v>7</v>
      </c>
      <c r="AW350">
        <f t="shared" si="47"/>
        <v>7</v>
      </c>
      <c r="AX350">
        <f t="shared" si="48"/>
        <v>7</v>
      </c>
      <c r="AY350">
        <f t="shared" si="49"/>
        <v>7</v>
      </c>
    </row>
    <row r="351" spans="38:51" x14ac:dyDescent="0.35">
      <c r="AL351" s="19" t="s">
        <v>280</v>
      </c>
      <c r="AM351">
        <f t="shared" si="38"/>
        <v>0</v>
      </c>
      <c r="AN351">
        <f t="shared" si="50"/>
        <v>0</v>
      </c>
      <c r="AO351">
        <f t="shared" si="39"/>
        <v>0</v>
      </c>
      <c r="AP351">
        <f t="shared" si="40"/>
        <v>0</v>
      </c>
      <c r="AQ351">
        <f t="shared" si="41"/>
        <v>0</v>
      </c>
      <c r="AR351">
        <f t="shared" si="42"/>
        <v>0</v>
      </c>
      <c r="AS351">
        <f t="shared" si="43"/>
        <v>0</v>
      </c>
      <c r="AT351">
        <f t="shared" si="44"/>
        <v>0</v>
      </c>
      <c r="AU351">
        <f t="shared" si="45"/>
        <v>0</v>
      </c>
      <c r="AV351">
        <f t="shared" si="46"/>
        <v>0</v>
      </c>
      <c r="AW351">
        <f t="shared" si="47"/>
        <v>0</v>
      </c>
      <c r="AX351">
        <f t="shared" si="48"/>
        <v>0</v>
      </c>
      <c r="AY351">
        <f t="shared" si="49"/>
        <v>0</v>
      </c>
    </row>
    <row r="352" spans="38:51" x14ac:dyDescent="0.35">
      <c r="AL352" s="19" t="s">
        <v>116</v>
      </c>
      <c r="AM352">
        <f t="shared" si="38"/>
        <v>6</v>
      </c>
      <c r="AN352">
        <f t="shared" si="50"/>
        <v>5</v>
      </c>
      <c r="AO352">
        <f t="shared" si="39"/>
        <v>7</v>
      </c>
      <c r="AP352">
        <f t="shared" si="40"/>
        <v>6</v>
      </c>
      <c r="AQ352">
        <f t="shared" si="41"/>
        <v>7</v>
      </c>
      <c r="AR352">
        <f t="shared" si="42"/>
        <v>7</v>
      </c>
      <c r="AS352">
        <f t="shared" si="43"/>
        <v>7</v>
      </c>
      <c r="AT352">
        <f t="shared" si="44"/>
        <v>5</v>
      </c>
      <c r="AU352">
        <f t="shared" si="45"/>
        <v>6</v>
      </c>
      <c r="AV352">
        <f t="shared" si="46"/>
        <v>6</v>
      </c>
      <c r="AW352">
        <f t="shared" si="47"/>
        <v>7</v>
      </c>
      <c r="AX352">
        <f t="shared" si="48"/>
        <v>7</v>
      </c>
      <c r="AY352">
        <f t="shared" si="49"/>
        <v>7</v>
      </c>
    </row>
    <row r="353" spans="38:51" x14ac:dyDescent="0.35">
      <c r="AL353" s="19" t="s">
        <v>117</v>
      </c>
      <c r="AM353">
        <f t="shared" si="38"/>
        <v>2</v>
      </c>
      <c r="AN353">
        <f t="shared" si="50"/>
        <v>4</v>
      </c>
      <c r="AO353">
        <f t="shared" si="39"/>
        <v>0</v>
      </c>
      <c r="AP353">
        <f t="shared" si="40"/>
        <v>0</v>
      </c>
      <c r="AQ353">
        <f t="shared" si="41"/>
        <v>0</v>
      </c>
      <c r="AR353">
        <f t="shared" si="42"/>
        <v>1</v>
      </c>
      <c r="AS353">
        <f t="shared" si="43"/>
        <v>0</v>
      </c>
      <c r="AT353">
        <f t="shared" si="44"/>
        <v>0</v>
      </c>
      <c r="AU353">
        <f t="shared" si="45"/>
        <v>0</v>
      </c>
      <c r="AV353">
        <f t="shared" si="46"/>
        <v>0</v>
      </c>
      <c r="AW353">
        <f t="shared" si="47"/>
        <v>0</v>
      </c>
      <c r="AX353">
        <f t="shared" si="48"/>
        <v>0</v>
      </c>
      <c r="AY353">
        <f t="shared" si="49"/>
        <v>0</v>
      </c>
    </row>
    <row r="354" spans="38:51" x14ac:dyDescent="0.35">
      <c r="AL354" s="19" t="s">
        <v>118</v>
      </c>
      <c r="AM354">
        <f>COUNTIF($AM70:$AS70,"&gt;=95%")</f>
        <v>3</v>
      </c>
      <c r="AN354">
        <f>COUNTIF($AU70:$BA70,"&gt;=95%")</f>
        <v>7</v>
      </c>
      <c r="AO354">
        <f t="shared" si="39"/>
        <v>5</v>
      </c>
      <c r="AP354">
        <f t="shared" si="40"/>
        <v>0</v>
      </c>
      <c r="AQ354">
        <f t="shared" si="41"/>
        <v>2</v>
      </c>
      <c r="AR354">
        <f t="shared" si="42"/>
        <v>6</v>
      </c>
      <c r="AS354">
        <f t="shared" si="43"/>
        <v>4</v>
      </c>
      <c r="AT354">
        <f t="shared" si="44"/>
        <v>4</v>
      </c>
      <c r="AU354">
        <f t="shared" si="45"/>
        <v>5</v>
      </c>
      <c r="AV354">
        <f t="shared" si="46"/>
        <v>7</v>
      </c>
      <c r="AW354">
        <f t="shared" si="47"/>
        <v>5</v>
      </c>
      <c r="AX354">
        <f t="shared" si="48"/>
        <v>5</v>
      </c>
      <c r="AY354">
        <f t="shared" si="49"/>
        <v>2</v>
      </c>
    </row>
    <row r="355" spans="38:51" x14ac:dyDescent="0.35">
      <c r="AL355" s="19" t="s">
        <v>119</v>
      </c>
      <c r="AM355">
        <f t="shared" si="38"/>
        <v>5</v>
      </c>
      <c r="AN355">
        <f t="shared" si="50"/>
        <v>6</v>
      </c>
      <c r="AO355">
        <f t="shared" si="39"/>
        <v>3</v>
      </c>
      <c r="AP355">
        <f t="shared" si="40"/>
        <v>4</v>
      </c>
      <c r="AQ355">
        <f t="shared" si="41"/>
        <v>5</v>
      </c>
      <c r="AR355">
        <f t="shared" si="42"/>
        <v>5</v>
      </c>
      <c r="AS355">
        <f t="shared" si="43"/>
        <v>3</v>
      </c>
      <c r="AT355">
        <f t="shared" si="44"/>
        <v>4</v>
      </c>
      <c r="AU355">
        <f t="shared" si="45"/>
        <v>3</v>
      </c>
      <c r="AV355">
        <f t="shared" si="46"/>
        <v>3</v>
      </c>
      <c r="AW355">
        <f t="shared" si="47"/>
        <v>3</v>
      </c>
      <c r="AX355">
        <f t="shared" si="48"/>
        <v>3</v>
      </c>
      <c r="AY355">
        <f t="shared" si="49"/>
        <v>2</v>
      </c>
    </row>
    <row r="356" spans="38:51" x14ac:dyDescent="0.35">
      <c r="AL356" s="19" t="s">
        <v>335</v>
      </c>
      <c r="AM356">
        <f t="shared" si="38"/>
        <v>0</v>
      </c>
      <c r="AN356">
        <f t="shared" si="50"/>
        <v>0</v>
      </c>
      <c r="AO356">
        <f t="shared" si="39"/>
        <v>0</v>
      </c>
      <c r="AP356">
        <f t="shared" si="40"/>
        <v>0</v>
      </c>
      <c r="AQ356">
        <f t="shared" si="41"/>
        <v>0</v>
      </c>
      <c r="AR356">
        <f t="shared" si="42"/>
        <v>0</v>
      </c>
      <c r="AS356">
        <f t="shared" si="43"/>
        <v>0</v>
      </c>
      <c r="AT356">
        <f t="shared" si="44"/>
        <v>0</v>
      </c>
      <c r="AU356">
        <f t="shared" si="45"/>
        <v>0</v>
      </c>
      <c r="AV356">
        <f t="shared" si="46"/>
        <v>0</v>
      </c>
      <c r="AW356">
        <f t="shared" si="47"/>
        <v>0</v>
      </c>
      <c r="AX356">
        <f t="shared" si="48"/>
        <v>0</v>
      </c>
      <c r="AY356">
        <f t="shared" si="49"/>
        <v>0</v>
      </c>
    </row>
    <row r="357" spans="38:51" x14ac:dyDescent="0.35">
      <c r="AL357" s="19" t="s">
        <v>120</v>
      </c>
      <c r="AM357">
        <f t="shared" ref="AM357:AM416" si="51">COUNTIF($AM73:$AS73,"&gt;=95%")</f>
        <v>0</v>
      </c>
      <c r="AN357">
        <f t="shared" ref="AN357:AN416" si="52">COUNTIF($AU73:$BA73,"&gt;=95%")</f>
        <v>0</v>
      </c>
      <c r="AO357">
        <f t="shared" ref="AO357:AO416" si="53">COUNTIF($BC73:$BI73,"&gt;=95%")</f>
        <v>0</v>
      </c>
      <c r="AP357">
        <f t="shared" ref="AP357:AP416" si="54">COUNTIF($BK73:$BQ73,"&gt;=95%")</f>
        <v>0</v>
      </c>
      <c r="AQ357">
        <f t="shared" ref="AQ357:AQ416" si="55">COUNTIF($BS73:$BY73,"&gt;=95%")</f>
        <v>0</v>
      </c>
      <c r="AR357">
        <f t="shared" ref="AR357:AR416" si="56">COUNTIF($CA73:$CG73,"&gt;=95%")</f>
        <v>0</v>
      </c>
      <c r="AS357">
        <f t="shared" ref="AS357:AS416" si="57">COUNTIF($CI73:$CO73,"&gt;=95%")</f>
        <v>0</v>
      </c>
      <c r="AT357">
        <f t="shared" ref="AT357:AT416" si="58">COUNTIF($CQ73:$CW73,"&gt;=95%")</f>
        <v>0</v>
      </c>
      <c r="AU357">
        <f t="shared" ref="AU357:AU416" si="59">COUNTIF($CY73:$DE73,"&gt;=95%")</f>
        <v>0</v>
      </c>
      <c r="AV357">
        <f t="shared" ref="AV357:AV416" si="60">COUNTIF($DG73:$DM73,"&gt;=95%")</f>
        <v>0</v>
      </c>
      <c r="AW357">
        <f t="shared" ref="AW357:AW416" si="61">COUNTIF($DO73:$DU73,"&gt;=95%")</f>
        <v>0</v>
      </c>
      <c r="AX357">
        <f t="shared" ref="AX357:AX416" si="62">COUNTIF($DW73:$EC73,"&gt;=95%")</f>
        <v>0</v>
      </c>
      <c r="AY357">
        <f t="shared" ref="AY357:AY416" si="63">COUNTIF($EE73:$EK73,"&gt;=95%")</f>
        <v>0</v>
      </c>
    </row>
    <row r="358" spans="38:51" x14ac:dyDescent="0.35">
      <c r="AL358" s="19" t="s">
        <v>121</v>
      </c>
      <c r="AM358">
        <f t="shared" si="51"/>
        <v>1</v>
      </c>
      <c r="AN358">
        <f t="shared" si="52"/>
        <v>0</v>
      </c>
      <c r="AO358">
        <f t="shared" si="53"/>
        <v>0</v>
      </c>
      <c r="AP358">
        <f t="shared" si="54"/>
        <v>0</v>
      </c>
      <c r="AQ358">
        <f t="shared" si="55"/>
        <v>0</v>
      </c>
      <c r="AR358">
        <f t="shared" si="56"/>
        <v>0</v>
      </c>
      <c r="AS358">
        <f t="shared" si="57"/>
        <v>0</v>
      </c>
      <c r="AT358">
        <f t="shared" si="58"/>
        <v>0</v>
      </c>
      <c r="AU358">
        <f t="shared" si="59"/>
        <v>0</v>
      </c>
      <c r="AV358">
        <f t="shared" si="60"/>
        <v>0</v>
      </c>
      <c r="AW358">
        <f t="shared" si="61"/>
        <v>1</v>
      </c>
      <c r="AX358">
        <f t="shared" si="62"/>
        <v>0</v>
      </c>
      <c r="AY358">
        <f t="shared" si="63"/>
        <v>0</v>
      </c>
    </row>
    <row r="359" spans="38:51" x14ac:dyDescent="0.35">
      <c r="AL359" s="19" t="s">
        <v>122</v>
      </c>
      <c r="AM359">
        <f t="shared" si="51"/>
        <v>0</v>
      </c>
      <c r="AN359">
        <f t="shared" si="52"/>
        <v>0</v>
      </c>
      <c r="AO359">
        <f t="shared" si="53"/>
        <v>0</v>
      </c>
      <c r="AP359">
        <f t="shared" si="54"/>
        <v>0</v>
      </c>
      <c r="AQ359">
        <f t="shared" si="55"/>
        <v>0</v>
      </c>
      <c r="AR359">
        <f t="shared" si="56"/>
        <v>0</v>
      </c>
      <c r="AS359">
        <f t="shared" si="57"/>
        <v>0</v>
      </c>
      <c r="AT359">
        <f t="shared" si="58"/>
        <v>0</v>
      </c>
      <c r="AU359">
        <f t="shared" si="59"/>
        <v>0</v>
      </c>
      <c r="AV359">
        <f t="shared" si="60"/>
        <v>0</v>
      </c>
      <c r="AW359">
        <f t="shared" si="61"/>
        <v>0</v>
      </c>
      <c r="AX359">
        <f t="shared" si="62"/>
        <v>0</v>
      </c>
      <c r="AY359">
        <f t="shared" si="63"/>
        <v>0</v>
      </c>
    </row>
    <row r="360" spans="38:51" x14ac:dyDescent="0.35">
      <c r="AL360" s="19" t="s">
        <v>123</v>
      </c>
      <c r="AM360">
        <f t="shared" si="51"/>
        <v>0</v>
      </c>
      <c r="AN360">
        <f t="shared" si="52"/>
        <v>0</v>
      </c>
      <c r="AO360">
        <f t="shared" si="53"/>
        <v>0</v>
      </c>
      <c r="AP360">
        <f t="shared" si="54"/>
        <v>0</v>
      </c>
      <c r="AQ360">
        <f t="shared" si="55"/>
        <v>0</v>
      </c>
      <c r="AR360">
        <f t="shared" si="56"/>
        <v>0</v>
      </c>
      <c r="AS360">
        <f t="shared" si="57"/>
        <v>0</v>
      </c>
      <c r="AT360">
        <f t="shared" si="58"/>
        <v>0</v>
      </c>
      <c r="AU360">
        <f t="shared" si="59"/>
        <v>0</v>
      </c>
      <c r="AV360">
        <f t="shared" si="60"/>
        <v>0</v>
      </c>
      <c r="AW360">
        <f t="shared" si="61"/>
        <v>0</v>
      </c>
      <c r="AX360">
        <f t="shared" si="62"/>
        <v>0</v>
      </c>
      <c r="AY360">
        <f t="shared" si="63"/>
        <v>0</v>
      </c>
    </row>
    <row r="361" spans="38:51" x14ac:dyDescent="0.35">
      <c r="AL361" s="19" t="s">
        <v>124</v>
      </c>
      <c r="AM361">
        <f t="shared" si="51"/>
        <v>7</v>
      </c>
      <c r="AN361">
        <f t="shared" si="52"/>
        <v>6</v>
      </c>
      <c r="AO361">
        <f t="shared" si="53"/>
        <v>5</v>
      </c>
      <c r="AP361">
        <f t="shared" si="54"/>
        <v>1</v>
      </c>
      <c r="AQ361">
        <f t="shared" si="55"/>
        <v>1</v>
      </c>
      <c r="AR361">
        <f t="shared" si="56"/>
        <v>3</v>
      </c>
      <c r="AS361">
        <f t="shared" si="57"/>
        <v>2</v>
      </c>
      <c r="AT361">
        <f t="shared" si="58"/>
        <v>3</v>
      </c>
      <c r="AU361">
        <f t="shared" si="59"/>
        <v>5</v>
      </c>
      <c r="AV361">
        <f t="shared" si="60"/>
        <v>7</v>
      </c>
      <c r="AW361">
        <f t="shared" si="61"/>
        <v>7</v>
      </c>
      <c r="AX361">
        <f t="shared" si="62"/>
        <v>4</v>
      </c>
      <c r="AY361">
        <f t="shared" si="63"/>
        <v>3</v>
      </c>
    </row>
    <row r="362" spans="38:51" x14ac:dyDescent="0.35">
      <c r="AL362" s="19" t="s">
        <v>289</v>
      </c>
      <c r="AM362">
        <f t="shared" si="51"/>
        <v>7</v>
      </c>
      <c r="AN362">
        <f t="shared" si="52"/>
        <v>7</v>
      </c>
      <c r="AO362">
        <f t="shared" si="53"/>
        <v>6</v>
      </c>
      <c r="AP362">
        <f t="shared" si="54"/>
        <v>3</v>
      </c>
      <c r="AQ362">
        <f t="shared" si="55"/>
        <v>6</v>
      </c>
      <c r="AR362">
        <f t="shared" si="56"/>
        <v>3</v>
      </c>
      <c r="AS362">
        <f t="shared" si="57"/>
        <v>4</v>
      </c>
      <c r="AT362">
        <f t="shared" si="58"/>
        <v>7</v>
      </c>
      <c r="AU362">
        <f t="shared" si="59"/>
        <v>6</v>
      </c>
      <c r="AV362">
        <f t="shared" si="60"/>
        <v>5</v>
      </c>
      <c r="AW362">
        <f t="shared" si="61"/>
        <v>1</v>
      </c>
      <c r="AX362">
        <f t="shared" si="62"/>
        <v>5</v>
      </c>
      <c r="AY362">
        <f t="shared" si="63"/>
        <v>3</v>
      </c>
    </row>
    <row r="363" spans="38:51" x14ac:dyDescent="0.35">
      <c r="AL363" s="19" t="s">
        <v>125</v>
      </c>
      <c r="AM363">
        <f t="shared" si="51"/>
        <v>0</v>
      </c>
      <c r="AN363">
        <f t="shared" si="52"/>
        <v>3</v>
      </c>
      <c r="AO363">
        <f t="shared" si="53"/>
        <v>2</v>
      </c>
      <c r="AP363">
        <f t="shared" si="54"/>
        <v>0</v>
      </c>
      <c r="AQ363">
        <f t="shared" si="55"/>
        <v>0</v>
      </c>
      <c r="AR363">
        <f t="shared" si="56"/>
        <v>0</v>
      </c>
      <c r="AS363">
        <f t="shared" si="57"/>
        <v>0</v>
      </c>
      <c r="AT363">
        <f t="shared" si="58"/>
        <v>0</v>
      </c>
      <c r="AU363">
        <f t="shared" si="59"/>
        <v>0</v>
      </c>
      <c r="AV363">
        <f t="shared" si="60"/>
        <v>0</v>
      </c>
      <c r="AW363">
        <f t="shared" si="61"/>
        <v>0</v>
      </c>
      <c r="AX363">
        <f t="shared" si="62"/>
        <v>0</v>
      </c>
      <c r="AY363">
        <f t="shared" si="63"/>
        <v>0</v>
      </c>
    </row>
    <row r="364" spans="38:51" x14ac:dyDescent="0.35">
      <c r="AL364" s="19" t="s">
        <v>126</v>
      </c>
      <c r="AM364">
        <f t="shared" si="51"/>
        <v>3</v>
      </c>
      <c r="AN364">
        <f t="shared" si="52"/>
        <v>0</v>
      </c>
      <c r="AO364">
        <f t="shared" si="53"/>
        <v>0</v>
      </c>
      <c r="AP364">
        <f t="shared" si="54"/>
        <v>0</v>
      </c>
      <c r="AQ364">
        <f t="shared" si="55"/>
        <v>5</v>
      </c>
      <c r="AR364">
        <f t="shared" si="56"/>
        <v>0</v>
      </c>
      <c r="AS364">
        <f t="shared" si="57"/>
        <v>1</v>
      </c>
      <c r="AT364">
        <f t="shared" si="58"/>
        <v>1</v>
      </c>
      <c r="AU364">
        <f t="shared" si="59"/>
        <v>0</v>
      </c>
      <c r="AV364">
        <f t="shared" si="60"/>
        <v>1</v>
      </c>
      <c r="AW364">
        <f t="shared" si="61"/>
        <v>1</v>
      </c>
      <c r="AX364">
        <f t="shared" si="62"/>
        <v>6</v>
      </c>
      <c r="AY364">
        <f t="shared" si="63"/>
        <v>3</v>
      </c>
    </row>
    <row r="365" spans="38:51" x14ac:dyDescent="0.35">
      <c r="AL365" s="19" t="s">
        <v>127</v>
      </c>
      <c r="AM365">
        <f t="shared" si="51"/>
        <v>0</v>
      </c>
      <c r="AN365">
        <f t="shared" si="52"/>
        <v>3</v>
      </c>
      <c r="AO365">
        <f t="shared" si="53"/>
        <v>3</v>
      </c>
      <c r="AP365">
        <f t="shared" si="54"/>
        <v>0</v>
      </c>
      <c r="AQ365">
        <f t="shared" si="55"/>
        <v>0</v>
      </c>
      <c r="AR365">
        <f t="shared" si="56"/>
        <v>2</v>
      </c>
      <c r="AS365">
        <f t="shared" si="57"/>
        <v>3</v>
      </c>
      <c r="AT365">
        <f t="shared" si="58"/>
        <v>3</v>
      </c>
      <c r="AU365">
        <f t="shared" si="59"/>
        <v>1</v>
      </c>
      <c r="AV365">
        <f t="shared" si="60"/>
        <v>6</v>
      </c>
      <c r="AW365">
        <f t="shared" si="61"/>
        <v>1</v>
      </c>
      <c r="AX365">
        <f t="shared" si="62"/>
        <v>5</v>
      </c>
      <c r="AY365">
        <f t="shared" si="63"/>
        <v>2</v>
      </c>
    </row>
    <row r="366" spans="38:51" x14ac:dyDescent="0.35">
      <c r="AL366" s="19" t="s">
        <v>128</v>
      </c>
      <c r="AM366">
        <f t="shared" si="51"/>
        <v>7</v>
      </c>
      <c r="AN366">
        <f t="shared" si="52"/>
        <v>7</v>
      </c>
      <c r="AO366">
        <f t="shared" si="53"/>
        <v>7</v>
      </c>
      <c r="AP366">
        <f t="shared" si="54"/>
        <v>5</v>
      </c>
      <c r="AQ366">
        <f t="shared" si="55"/>
        <v>5</v>
      </c>
      <c r="AR366">
        <f t="shared" si="56"/>
        <v>7</v>
      </c>
      <c r="AS366">
        <f t="shared" si="57"/>
        <v>7</v>
      </c>
      <c r="AT366">
        <f t="shared" si="58"/>
        <v>7</v>
      </c>
      <c r="AU366">
        <f t="shared" si="59"/>
        <v>7</v>
      </c>
      <c r="AV366">
        <f t="shared" si="60"/>
        <v>7</v>
      </c>
      <c r="AW366">
        <f t="shared" si="61"/>
        <v>7</v>
      </c>
      <c r="AX366">
        <f t="shared" si="62"/>
        <v>6</v>
      </c>
      <c r="AY366">
        <f t="shared" si="63"/>
        <v>7</v>
      </c>
    </row>
    <row r="367" spans="38:51" x14ac:dyDescent="0.35">
      <c r="AL367" s="19" t="s">
        <v>336</v>
      </c>
      <c r="AM367">
        <f t="shared" si="51"/>
        <v>0</v>
      </c>
      <c r="AN367">
        <f t="shared" si="52"/>
        <v>3</v>
      </c>
      <c r="AO367">
        <f t="shared" si="53"/>
        <v>1</v>
      </c>
      <c r="AP367">
        <f t="shared" si="54"/>
        <v>1</v>
      </c>
      <c r="AQ367">
        <f t="shared" si="55"/>
        <v>1</v>
      </c>
      <c r="AR367">
        <f t="shared" si="56"/>
        <v>2</v>
      </c>
      <c r="AS367">
        <f t="shared" si="57"/>
        <v>4</v>
      </c>
      <c r="AT367">
        <f t="shared" si="58"/>
        <v>0</v>
      </c>
      <c r="AU367">
        <f t="shared" si="59"/>
        <v>3</v>
      </c>
      <c r="AV367">
        <f t="shared" si="60"/>
        <v>1</v>
      </c>
      <c r="AW367">
        <f t="shared" si="61"/>
        <v>1</v>
      </c>
      <c r="AX367">
        <f t="shared" si="62"/>
        <v>1</v>
      </c>
      <c r="AY367">
        <f t="shared" si="63"/>
        <v>2</v>
      </c>
    </row>
    <row r="368" spans="38:51" x14ac:dyDescent="0.35">
      <c r="AL368" s="19" t="s">
        <v>129</v>
      </c>
      <c r="AM368">
        <f t="shared" si="51"/>
        <v>0</v>
      </c>
      <c r="AN368">
        <f t="shared" si="52"/>
        <v>0</v>
      </c>
      <c r="AO368">
        <f t="shared" si="53"/>
        <v>0</v>
      </c>
      <c r="AP368">
        <f t="shared" si="54"/>
        <v>0</v>
      </c>
      <c r="AQ368">
        <f t="shared" si="55"/>
        <v>0</v>
      </c>
      <c r="AR368">
        <f t="shared" si="56"/>
        <v>1</v>
      </c>
      <c r="AS368">
        <f t="shared" si="57"/>
        <v>0</v>
      </c>
      <c r="AT368">
        <f t="shared" si="58"/>
        <v>0</v>
      </c>
      <c r="AU368">
        <f t="shared" si="59"/>
        <v>0</v>
      </c>
      <c r="AV368">
        <f t="shared" si="60"/>
        <v>1</v>
      </c>
      <c r="AW368">
        <f t="shared" si="61"/>
        <v>0</v>
      </c>
      <c r="AX368">
        <f t="shared" si="62"/>
        <v>0</v>
      </c>
      <c r="AY368">
        <f t="shared" si="63"/>
        <v>0</v>
      </c>
    </row>
    <row r="369" spans="38:51" x14ac:dyDescent="0.35">
      <c r="AL369" s="19" t="s">
        <v>130</v>
      </c>
      <c r="AM369">
        <f t="shared" si="51"/>
        <v>6</v>
      </c>
      <c r="AN369">
        <f t="shared" si="52"/>
        <v>7</v>
      </c>
      <c r="AO369">
        <f t="shared" si="53"/>
        <v>5</v>
      </c>
      <c r="AP369">
        <f t="shared" si="54"/>
        <v>0</v>
      </c>
      <c r="AQ369">
        <f t="shared" si="55"/>
        <v>0</v>
      </c>
      <c r="AR369">
        <f t="shared" si="56"/>
        <v>1</v>
      </c>
      <c r="AS369">
        <f t="shared" si="57"/>
        <v>2</v>
      </c>
      <c r="AT369">
        <f t="shared" si="58"/>
        <v>4</v>
      </c>
      <c r="AU369">
        <f t="shared" si="59"/>
        <v>2</v>
      </c>
      <c r="AV369">
        <f t="shared" si="60"/>
        <v>4</v>
      </c>
      <c r="AW369">
        <f t="shared" si="61"/>
        <v>5</v>
      </c>
      <c r="AX369">
        <f t="shared" si="62"/>
        <v>6</v>
      </c>
      <c r="AY369">
        <f t="shared" si="63"/>
        <v>5</v>
      </c>
    </row>
    <row r="370" spans="38:51" x14ac:dyDescent="0.35">
      <c r="AL370" s="19" t="s">
        <v>131</v>
      </c>
      <c r="AM370">
        <f t="shared" si="51"/>
        <v>5</v>
      </c>
      <c r="AN370">
        <f t="shared" si="52"/>
        <v>7</v>
      </c>
      <c r="AO370">
        <f t="shared" si="53"/>
        <v>6</v>
      </c>
      <c r="AP370">
        <f t="shared" si="54"/>
        <v>0</v>
      </c>
      <c r="AQ370">
        <f t="shared" si="55"/>
        <v>5</v>
      </c>
      <c r="AR370">
        <f t="shared" si="56"/>
        <v>6</v>
      </c>
      <c r="AS370">
        <f t="shared" si="57"/>
        <v>5</v>
      </c>
      <c r="AT370">
        <f t="shared" si="58"/>
        <v>3</v>
      </c>
      <c r="AU370">
        <f t="shared" si="59"/>
        <v>5</v>
      </c>
      <c r="AV370">
        <f t="shared" si="60"/>
        <v>5</v>
      </c>
      <c r="AW370">
        <f t="shared" si="61"/>
        <v>6</v>
      </c>
      <c r="AX370">
        <f t="shared" si="62"/>
        <v>7</v>
      </c>
      <c r="AY370">
        <f t="shared" si="63"/>
        <v>7</v>
      </c>
    </row>
    <row r="371" spans="38:51" x14ac:dyDescent="0.35">
      <c r="AL371" s="19" t="s">
        <v>132</v>
      </c>
      <c r="AM371">
        <f t="shared" si="51"/>
        <v>0</v>
      </c>
      <c r="AN371">
        <f t="shared" si="52"/>
        <v>0</v>
      </c>
      <c r="AO371">
        <f t="shared" si="53"/>
        <v>0</v>
      </c>
      <c r="AP371">
        <f t="shared" si="54"/>
        <v>0</v>
      </c>
      <c r="AQ371">
        <f t="shared" si="55"/>
        <v>0</v>
      </c>
      <c r="AR371">
        <f t="shared" si="56"/>
        <v>0</v>
      </c>
      <c r="AS371">
        <f t="shared" si="57"/>
        <v>0</v>
      </c>
      <c r="AT371">
        <f t="shared" si="58"/>
        <v>0</v>
      </c>
      <c r="AU371">
        <f t="shared" si="59"/>
        <v>0</v>
      </c>
      <c r="AV371">
        <f t="shared" si="60"/>
        <v>0</v>
      </c>
      <c r="AW371">
        <f t="shared" si="61"/>
        <v>0</v>
      </c>
      <c r="AX371">
        <f t="shared" si="62"/>
        <v>0</v>
      </c>
      <c r="AY371">
        <f t="shared" si="63"/>
        <v>0</v>
      </c>
    </row>
    <row r="372" spans="38:51" x14ac:dyDescent="0.35">
      <c r="AL372" s="19" t="s">
        <v>133</v>
      </c>
      <c r="AM372">
        <f t="shared" si="51"/>
        <v>0</v>
      </c>
      <c r="AN372">
        <f t="shared" si="52"/>
        <v>0</v>
      </c>
      <c r="AO372">
        <f t="shared" si="53"/>
        <v>0</v>
      </c>
      <c r="AP372">
        <f t="shared" si="54"/>
        <v>0</v>
      </c>
      <c r="AQ372">
        <f t="shared" si="55"/>
        <v>0</v>
      </c>
      <c r="AR372">
        <f t="shared" si="56"/>
        <v>0</v>
      </c>
      <c r="AS372">
        <f t="shared" si="57"/>
        <v>0</v>
      </c>
      <c r="AT372">
        <f t="shared" si="58"/>
        <v>0</v>
      </c>
      <c r="AU372">
        <f t="shared" si="59"/>
        <v>0</v>
      </c>
      <c r="AV372">
        <f t="shared" si="60"/>
        <v>0</v>
      </c>
      <c r="AW372">
        <f t="shared" si="61"/>
        <v>0</v>
      </c>
      <c r="AX372">
        <f t="shared" si="62"/>
        <v>0</v>
      </c>
      <c r="AY372">
        <f t="shared" si="63"/>
        <v>0</v>
      </c>
    </row>
    <row r="373" spans="38:51" x14ac:dyDescent="0.35">
      <c r="AL373" s="19" t="s">
        <v>134</v>
      </c>
      <c r="AM373">
        <f t="shared" si="51"/>
        <v>2</v>
      </c>
      <c r="AN373">
        <f t="shared" si="52"/>
        <v>1</v>
      </c>
      <c r="AO373">
        <f t="shared" si="53"/>
        <v>3</v>
      </c>
      <c r="AP373">
        <f t="shared" si="54"/>
        <v>0</v>
      </c>
      <c r="AQ373">
        <f t="shared" si="55"/>
        <v>2</v>
      </c>
      <c r="AR373">
        <f t="shared" si="56"/>
        <v>2</v>
      </c>
      <c r="AS373">
        <f t="shared" si="57"/>
        <v>5</v>
      </c>
      <c r="AT373">
        <f t="shared" si="58"/>
        <v>1</v>
      </c>
      <c r="AU373">
        <f t="shared" si="59"/>
        <v>0</v>
      </c>
      <c r="AV373">
        <f t="shared" si="60"/>
        <v>0</v>
      </c>
      <c r="AW373">
        <f t="shared" si="61"/>
        <v>2</v>
      </c>
      <c r="AX373">
        <f t="shared" si="62"/>
        <v>3</v>
      </c>
      <c r="AY373">
        <f t="shared" si="63"/>
        <v>6</v>
      </c>
    </row>
    <row r="374" spans="38:51" x14ac:dyDescent="0.35">
      <c r="AL374" s="19" t="s">
        <v>135</v>
      </c>
      <c r="AM374">
        <f t="shared" si="51"/>
        <v>0</v>
      </c>
      <c r="AN374">
        <f t="shared" si="52"/>
        <v>0</v>
      </c>
      <c r="AO374">
        <f t="shared" si="53"/>
        <v>0</v>
      </c>
      <c r="AP374">
        <f t="shared" si="54"/>
        <v>0</v>
      </c>
      <c r="AQ374">
        <f t="shared" si="55"/>
        <v>0</v>
      </c>
      <c r="AR374">
        <f t="shared" si="56"/>
        <v>0</v>
      </c>
      <c r="AS374">
        <f t="shared" si="57"/>
        <v>0</v>
      </c>
      <c r="AT374">
        <f t="shared" si="58"/>
        <v>0</v>
      </c>
      <c r="AU374">
        <f t="shared" si="59"/>
        <v>0</v>
      </c>
      <c r="AV374">
        <f t="shared" si="60"/>
        <v>0</v>
      </c>
      <c r="AW374">
        <f t="shared" si="61"/>
        <v>0</v>
      </c>
      <c r="AX374">
        <f t="shared" si="62"/>
        <v>0</v>
      </c>
      <c r="AY374">
        <f t="shared" si="63"/>
        <v>0</v>
      </c>
    </row>
    <row r="375" spans="38:51" x14ac:dyDescent="0.35">
      <c r="AL375" s="19" t="s">
        <v>291</v>
      </c>
      <c r="AM375">
        <f t="shared" si="51"/>
        <v>3</v>
      </c>
      <c r="AN375">
        <f t="shared" si="52"/>
        <v>5</v>
      </c>
      <c r="AO375">
        <f t="shared" si="53"/>
        <v>5</v>
      </c>
      <c r="AP375">
        <f t="shared" si="54"/>
        <v>2</v>
      </c>
      <c r="AQ375">
        <f t="shared" si="55"/>
        <v>2</v>
      </c>
      <c r="AR375">
        <f t="shared" si="56"/>
        <v>5</v>
      </c>
      <c r="AS375">
        <f t="shared" si="57"/>
        <v>5</v>
      </c>
      <c r="AT375">
        <f t="shared" si="58"/>
        <v>7</v>
      </c>
      <c r="AU375">
        <f t="shared" si="59"/>
        <v>7</v>
      </c>
      <c r="AV375">
        <f t="shared" si="60"/>
        <v>5</v>
      </c>
      <c r="AW375">
        <f t="shared" si="61"/>
        <v>5</v>
      </c>
      <c r="AX375">
        <f t="shared" si="62"/>
        <v>4</v>
      </c>
      <c r="AY375">
        <f t="shared" si="63"/>
        <v>3</v>
      </c>
    </row>
    <row r="376" spans="38:51" x14ac:dyDescent="0.35">
      <c r="AL376" s="19" t="s">
        <v>136</v>
      </c>
      <c r="AM376">
        <f t="shared" si="51"/>
        <v>0</v>
      </c>
      <c r="AN376">
        <f t="shared" si="52"/>
        <v>0</v>
      </c>
      <c r="AO376">
        <f t="shared" si="53"/>
        <v>0</v>
      </c>
      <c r="AP376">
        <f t="shared" si="54"/>
        <v>0</v>
      </c>
      <c r="AQ376">
        <f t="shared" si="55"/>
        <v>0</v>
      </c>
      <c r="AR376">
        <f t="shared" si="56"/>
        <v>0</v>
      </c>
      <c r="AS376">
        <f t="shared" si="57"/>
        <v>0</v>
      </c>
      <c r="AT376">
        <f t="shared" si="58"/>
        <v>0</v>
      </c>
      <c r="AU376">
        <f t="shared" si="59"/>
        <v>0</v>
      </c>
      <c r="AV376">
        <f t="shared" si="60"/>
        <v>0</v>
      </c>
      <c r="AW376">
        <f t="shared" si="61"/>
        <v>0</v>
      </c>
      <c r="AX376">
        <f t="shared" si="62"/>
        <v>0</v>
      </c>
      <c r="AY376">
        <f t="shared" si="63"/>
        <v>0</v>
      </c>
    </row>
    <row r="377" spans="38:51" x14ac:dyDescent="0.35">
      <c r="AL377" s="19" t="s">
        <v>281</v>
      </c>
      <c r="AM377">
        <f t="shared" si="51"/>
        <v>0</v>
      </c>
      <c r="AN377">
        <f t="shared" si="52"/>
        <v>0</v>
      </c>
      <c r="AO377">
        <f t="shared" si="53"/>
        <v>0</v>
      </c>
      <c r="AP377">
        <f t="shared" si="54"/>
        <v>0</v>
      </c>
      <c r="AQ377">
        <f t="shared" si="55"/>
        <v>0</v>
      </c>
      <c r="AR377">
        <f t="shared" si="56"/>
        <v>0</v>
      </c>
      <c r="AS377">
        <f t="shared" si="57"/>
        <v>0</v>
      </c>
      <c r="AT377">
        <f t="shared" si="58"/>
        <v>0</v>
      </c>
      <c r="AU377">
        <f t="shared" si="59"/>
        <v>0</v>
      </c>
      <c r="AV377">
        <f t="shared" si="60"/>
        <v>0</v>
      </c>
      <c r="AW377">
        <f t="shared" si="61"/>
        <v>0</v>
      </c>
      <c r="AX377">
        <f t="shared" si="62"/>
        <v>0</v>
      </c>
      <c r="AY377">
        <f t="shared" si="63"/>
        <v>0</v>
      </c>
    </row>
    <row r="378" spans="38:51" x14ac:dyDescent="0.35">
      <c r="AL378" s="19" t="s">
        <v>137</v>
      </c>
      <c r="AM378">
        <f t="shared" si="51"/>
        <v>0</v>
      </c>
      <c r="AN378">
        <f t="shared" si="52"/>
        <v>0</v>
      </c>
      <c r="AO378">
        <f t="shared" si="53"/>
        <v>0</v>
      </c>
      <c r="AP378">
        <f t="shared" si="54"/>
        <v>0</v>
      </c>
      <c r="AQ378">
        <f t="shared" si="55"/>
        <v>0</v>
      </c>
      <c r="AR378">
        <f t="shared" si="56"/>
        <v>0</v>
      </c>
      <c r="AS378">
        <f t="shared" si="57"/>
        <v>1</v>
      </c>
      <c r="AT378">
        <f t="shared" si="58"/>
        <v>0</v>
      </c>
      <c r="AU378">
        <f t="shared" si="59"/>
        <v>2</v>
      </c>
      <c r="AV378">
        <f t="shared" si="60"/>
        <v>0</v>
      </c>
      <c r="AW378">
        <f t="shared" si="61"/>
        <v>0</v>
      </c>
      <c r="AX378">
        <f t="shared" si="62"/>
        <v>0</v>
      </c>
      <c r="AY378">
        <f t="shared" si="63"/>
        <v>1</v>
      </c>
    </row>
    <row r="379" spans="38:51" x14ac:dyDescent="0.35">
      <c r="AL379" s="19" t="s">
        <v>138</v>
      </c>
      <c r="AM379">
        <f t="shared" si="51"/>
        <v>2</v>
      </c>
      <c r="AN379">
        <f t="shared" si="52"/>
        <v>3</v>
      </c>
      <c r="AO379">
        <f t="shared" si="53"/>
        <v>2</v>
      </c>
      <c r="AP379">
        <f t="shared" si="54"/>
        <v>1</v>
      </c>
      <c r="AQ379">
        <f t="shared" si="55"/>
        <v>1</v>
      </c>
      <c r="AR379">
        <f t="shared" si="56"/>
        <v>1</v>
      </c>
      <c r="AS379">
        <f t="shared" si="57"/>
        <v>2</v>
      </c>
      <c r="AT379">
        <f t="shared" si="58"/>
        <v>2</v>
      </c>
      <c r="AU379">
        <f t="shared" si="59"/>
        <v>1</v>
      </c>
      <c r="AV379">
        <f t="shared" si="60"/>
        <v>7</v>
      </c>
      <c r="AW379">
        <f t="shared" si="61"/>
        <v>5</v>
      </c>
      <c r="AX379">
        <f t="shared" si="62"/>
        <v>1</v>
      </c>
      <c r="AY379">
        <f t="shared" si="63"/>
        <v>5</v>
      </c>
    </row>
    <row r="380" spans="38:51" x14ac:dyDescent="0.35">
      <c r="AL380" s="19" t="s">
        <v>139</v>
      </c>
      <c r="AM380">
        <f t="shared" si="51"/>
        <v>6</v>
      </c>
      <c r="AN380">
        <f t="shared" si="52"/>
        <v>5</v>
      </c>
      <c r="AO380">
        <f t="shared" si="53"/>
        <v>5</v>
      </c>
      <c r="AP380">
        <f t="shared" si="54"/>
        <v>0</v>
      </c>
      <c r="AQ380">
        <f t="shared" si="55"/>
        <v>3</v>
      </c>
      <c r="AR380">
        <f t="shared" si="56"/>
        <v>6</v>
      </c>
      <c r="AS380">
        <f t="shared" si="57"/>
        <v>6</v>
      </c>
      <c r="AT380">
        <f t="shared" si="58"/>
        <v>5</v>
      </c>
      <c r="AU380">
        <f t="shared" si="59"/>
        <v>6</v>
      </c>
      <c r="AV380">
        <f t="shared" si="60"/>
        <v>5</v>
      </c>
      <c r="AW380">
        <f t="shared" si="61"/>
        <v>6</v>
      </c>
      <c r="AX380">
        <f t="shared" si="62"/>
        <v>4</v>
      </c>
      <c r="AY380">
        <f t="shared" si="63"/>
        <v>7</v>
      </c>
    </row>
    <row r="381" spans="38:51" x14ac:dyDescent="0.35">
      <c r="AL381" s="19" t="s">
        <v>140</v>
      </c>
      <c r="AM381">
        <f t="shared" si="51"/>
        <v>6</v>
      </c>
      <c r="AN381">
        <f t="shared" si="52"/>
        <v>7</v>
      </c>
      <c r="AO381">
        <f t="shared" si="53"/>
        <v>7</v>
      </c>
      <c r="AP381">
        <f t="shared" si="54"/>
        <v>5</v>
      </c>
      <c r="AQ381">
        <f t="shared" si="55"/>
        <v>1</v>
      </c>
      <c r="AR381">
        <f t="shared" si="56"/>
        <v>5</v>
      </c>
      <c r="AS381">
        <f t="shared" si="57"/>
        <v>4</v>
      </c>
      <c r="AT381">
        <f t="shared" si="58"/>
        <v>6</v>
      </c>
      <c r="AU381">
        <f t="shared" si="59"/>
        <v>7</v>
      </c>
      <c r="AV381">
        <f t="shared" si="60"/>
        <v>6</v>
      </c>
      <c r="AW381">
        <f t="shared" si="61"/>
        <v>7</v>
      </c>
      <c r="AX381">
        <f t="shared" si="62"/>
        <v>7</v>
      </c>
      <c r="AY381">
        <f t="shared" si="63"/>
        <v>7</v>
      </c>
    </row>
    <row r="382" spans="38:51" x14ac:dyDescent="0.35">
      <c r="AL382" s="19" t="s">
        <v>141</v>
      </c>
      <c r="AM382">
        <f t="shared" si="51"/>
        <v>2</v>
      </c>
      <c r="AN382">
        <f t="shared" si="52"/>
        <v>4</v>
      </c>
      <c r="AO382">
        <f t="shared" si="53"/>
        <v>4</v>
      </c>
      <c r="AP382">
        <f t="shared" si="54"/>
        <v>2</v>
      </c>
      <c r="AQ382">
        <f t="shared" si="55"/>
        <v>0</v>
      </c>
      <c r="AR382">
        <f t="shared" si="56"/>
        <v>3</v>
      </c>
      <c r="AS382">
        <f t="shared" si="57"/>
        <v>4</v>
      </c>
      <c r="AT382">
        <f t="shared" si="58"/>
        <v>4</v>
      </c>
      <c r="AU382">
        <f t="shared" si="59"/>
        <v>7</v>
      </c>
      <c r="AV382">
        <f t="shared" si="60"/>
        <v>6</v>
      </c>
      <c r="AW382">
        <f t="shared" si="61"/>
        <v>1</v>
      </c>
      <c r="AX382">
        <f t="shared" si="62"/>
        <v>4</v>
      </c>
      <c r="AY382">
        <f t="shared" si="63"/>
        <v>5</v>
      </c>
    </row>
    <row r="383" spans="38:51" x14ac:dyDescent="0.35">
      <c r="AL383" s="19" t="s">
        <v>142</v>
      </c>
      <c r="AM383">
        <f t="shared" si="51"/>
        <v>6</v>
      </c>
      <c r="AN383">
        <f t="shared" si="52"/>
        <v>7</v>
      </c>
      <c r="AO383">
        <f t="shared" si="53"/>
        <v>7</v>
      </c>
      <c r="AP383">
        <f t="shared" si="54"/>
        <v>2</v>
      </c>
      <c r="AQ383">
        <f t="shared" si="55"/>
        <v>6</v>
      </c>
      <c r="AR383">
        <f t="shared" si="56"/>
        <v>7</v>
      </c>
      <c r="AS383">
        <f t="shared" si="57"/>
        <v>7</v>
      </c>
      <c r="AT383">
        <f t="shared" si="58"/>
        <v>7</v>
      </c>
      <c r="AU383">
        <f t="shared" si="59"/>
        <v>7</v>
      </c>
      <c r="AV383">
        <f t="shared" si="60"/>
        <v>7</v>
      </c>
      <c r="AW383">
        <f t="shared" si="61"/>
        <v>7</v>
      </c>
      <c r="AX383">
        <f t="shared" si="62"/>
        <v>7</v>
      </c>
      <c r="AY383">
        <f t="shared" si="63"/>
        <v>7</v>
      </c>
    </row>
    <row r="384" spans="38:51" x14ac:dyDescent="0.35">
      <c r="AL384" s="19" t="s">
        <v>143</v>
      </c>
      <c r="AM384">
        <f t="shared" si="51"/>
        <v>0</v>
      </c>
      <c r="AN384">
        <f t="shared" si="52"/>
        <v>0</v>
      </c>
      <c r="AO384">
        <f t="shared" si="53"/>
        <v>1</v>
      </c>
      <c r="AP384">
        <f t="shared" si="54"/>
        <v>1</v>
      </c>
      <c r="AQ384">
        <f t="shared" si="55"/>
        <v>1</v>
      </c>
      <c r="AR384">
        <f t="shared" si="56"/>
        <v>0</v>
      </c>
      <c r="AS384">
        <f t="shared" si="57"/>
        <v>0</v>
      </c>
      <c r="AT384">
        <f t="shared" si="58"/>
        <v>2</v>
      </c>
      <c r="AU384">
        <f t="shared" si="59"/>
        <v>2</v>
      </c>
      <c r="AV384">
        <f t="shared" si="60"/>
        <v>3</v>
      </c>
      <c r="AW384">
        <f t="shared" si="61"/>
        <v>1</v>
      </c>
      <c r="AX384">
        <f t="shared" si="62"/>
        <v>1</v>
      </c>
      <c r="AY384">
        <f t="shared" si="63"/>
        <v>0</v>
      </c>
    </row>
    <row r="385" spans="38:51" x14ac:dyDescent="0.35">
      <c r="AL385" s="19" t="s">
        <v>144</v>
      </c>
      <c r="AM385">
        <f t="shared" si="51"/>
        <v>4</v>
      </c>
      <c r="AN385">
        <f t="shared" si="52"/>
        <v>6</v>
      </c>
      <c r="AO385">
        <f t="shared" si="53"/>
        <v>0</v>
      </c>
      <c r="AP385">
        <f t="shared" si="54"/>
        <v>0</v>
      </c>
      <c r="AQ385">
        <f t="shared" si="55"/>
        <v>0</v>
      </c>
      <c r="AR385">
        <f t="shared" si="56"/>
        <v>0</v>
      </c>
      <c r="AS385">
        <f t="shared" si="57"/>
        <v>0</v>
      </c>
      <c r="AT385">
        <f t="shared" si="58"/>
        <v>0</v>
      </c>
      <c r="AU385">
        <f t="shared" si="59"/>
        <v>0</v>
      </c>
      <c r="AV385">
        <f t="shared" si="60"/>
        <v>1</v>
      </c>
      <c r="AW385">
        <f t="shared" si="61"/>
        <v>0</v>
      </c>
      <c r="AX385">
        <f t="shared" si="62"/>
        <v>3</v>
      </c>
      <c r="AY385">
        <f t="shared" si="63"/>
        <v>0</v>
      </c>
    </row>
    <row r="386" spans="38:51" x14ac:dyDescent="0.35">
      <c r="AL386" s="19" t="s">
        <v>145</v>
      </c>
      <c r="AM386">
        <f t="shared" si="51"/>
        <v>7</v>
      </c>
      <c r="AN386">
        <f t="shared" si="52"/>
        <v>7</v>
      </c>
      <c r="AO386">
        <f t="shared" si="53"/>
        <v>3</v>
      </c>
      <c r="AP386">
        <f t="shared" si="54"/>
        <v>2</v>
      </c>
      <c r="AQ386">
        <f t="shared" si="55"/>
        <v>2</v>
      </c>
      <c r="AR386">
        <f t="shared" si="56"/>
        <v>3</v>
      </c>
      <c r="AS386">
        <f t="shared" si="57"/>
        <v>5</v>
      </c>
      <c r="AT386">
        <f t="shared" si="58"/>
        <v>6</v>
      </c>
      <c r="AU386">
        <f t="shared" si="59"/>
        <v>3</v>
      </c>
      <c r="AV386">
        <f t="shared" si="60"/>
        <v>3</v>
      </c>
      <c r="AW386">
        <f t="shared" si="61"/>
        <v>3</v>
      </c>
      <c r="AX386">
        <f t="shared" si="62"/>
        <v>2</v>
      </c>
      <c r="AY386">
        <f t="shared" si="63"/>
        <v>4</v>
      </c>
    </row>
    <row r="387" spans="38:51" x14ac:dyDescent="0.35">
      <c r="AL387" s="19" t="s">
        <v>146</v>
      </c>
      <c r="AM387">
        <f t="shared" si="51"/>
        <v>0</v>
      </c>
      <c r="AN387">
        <f t="shared" si="52"/>
        <v>0</v>
      </c>
      <c r="AO387">
        <f t="shared" si="53"/>
        <v>0</v>
      </c>
      <c r="AP387">
        <f t="shared" si="54"/>
        <v>0</v>
      </c>
      <c r="AQ387">
        <f t="shared" si="55"/>
        <v>0</v>
      </c>
      <c r="AR387">
        <f t="shared" si="56"/>
        <v>0</v>
      </c>
      <c r="AS387">
        <f t="shared" si="57"/>
        <v>0</v>
      </c>
      <c r="AT387">
        <f t="shared" si="58"/>
        <v>0</v>
      </c>
      <c r="AU387">
        <f t="shared" si="59"/>
        <v>0</v>
      </c>
      <c r="AV387">
        <f t="shared" si="60"/>
        <v>0</v>
      </c>
      <c r="AW387">
        <f t="shared" si="61"/>
        <v>0</v>
      </c>
      <c r="AX387">
        <f t="shared" si="62"/>
        <v>0</v>
      </c>
      <c r="AY387">
        <f t="shared" si="63"/>
        <v>0</v>
      </c>
    </row>
    <row r="388" spans="38:51" x14ac:dyDescent="0.35">
      <c r="AL388" s="19" t="s">
        <v>147</v>
      </c>
      <c r="AM388">
        <f t="shared" si="51"/>
        <v>7</v>
      </c>
      <c r="AN388">
        <f t="shared" si="52"/>
        <v>6</v>
      </c>
      <c r="AO388">
        <f t="shared" si="53"/>
        <v>6</v>
      </c>
      <c r="AP388">
        <f t="shared" si="54"/>
        <v>2</v>
      </c>
      <c r="AQ388">
        <f t="shared" si="55"/>
        <v>3</v>
      </c>
      <c r="AR388">
        <f t="shared" si="56"/>
        <v>5</v>
      </c>
      <c r="AS388">
        <f t="shared" si="57"/>
        <v>7</v>
      </c>
      <c r="AT388">
        <f t="shared" si="58"/>
        <v>6</v>
      </c>
      <c r="AU388">
        <f t="shared" si="59"/>
        <v>4</v>
      </c>
      <c r="AV388">
        <f t="shared" si="60"/>
        <v>6</v>
      </c>
      <c r="AW388">
        <f t="shared" si="61"/>
        <v>7</v>
      </c>
      <c r="AX388">
        <f t="shared" si="62"/>
        <v>4</v>
      </c>
      <c r="AY388">
        <f t="shared" si="63"/>
        <v>7</v>
      </c>
    </row>
    <row r="389" spans="38:51" x14ac:dyDescent="0.35">
      <c r="AL389" s="19" t="s">
        <v>257</v>
      </c>
      <c r="AM389">
        <f t="shared" si="51"/>
        <v>5</v>
      </c>
      <c r="AN389">
        <f t="shared" si="52"/>
        <v>4</v>
      </c>
      <c r="AO389">
        <f t="shared" si="53"/>
        <v>2</v>
      </c>
      <c r="AP389">
        <f t="shared" si="54"/>
        <v>4</v>
      </c>
      <c r="AQ389">
        <f t="shared" si="55"/>
        <v>3</v>
      </c>
      <c r="AR389">
        <f t="shared" si="56"/>
        <v>2</v>
      </c>
      <c r="AS389">
        <f t="shared" si="57"/>
        <v>1</v>
      </c>
      <c r="AT389">
        <f t="shared" si="58"/>
        <v>6</v>
      </c>
      <c r="AU389">
        <f t="shared" si="59"/>
        <v>4</v>
      </c>
      <c r="AV389">
        <f t="shared" si="60"/>
        <v>4</v>
      </c>
      <c r="AW389">
        <f t="shared" si="61"/>
        <v>6</v>
      </c>
      <c r="AX389">
        <f t="shared" si="62"/>
        <v>4</v>
      </c>
      <c r="AY389">
        <f t="shared" si="63"/>
        <v>5</v>
      </c>
    </row>
    <row r="390" spans="38:51" x14ac:dyDescent="0.35">
      <c r="AL390" s="19" t="s">
        <v>148</v>
      </c>
      <c r="AM390">
        <f t="shared" si="51"/>
        <v>3</v>
      </c>
      <c r="AN390">
        <f t="shared" si="52"/>
        <v>3</v>
      </c>
      <c r="AO390">
        <f t="shared" si="53"/>
        <v>1</v>
      </c>
      <c r="AP390">
        <f t="shared" si="54"/>
        <v>0</v>
      </c>
      <c r="AQ390">
        <f t="shared" si="55"/>
        <v>0</v>
      </c>
      <c r="AR390">
        <f t="shared" si="56"/>
        <v>0</v>
      </c>
      <c r="AS390">
        <f t="shared" si="57"/>
        <v>5</v>
      </c>
      <c r="AT390">
        <f t="shared" si="58"/>
        <v>2</v>
      </c>
      <c r="AU390">
        <f t="shared" si="59"/>
        <v>2</v>
      </c>
      <c r="AV390">
        <f t="shared" si="60"/>
        <v>2</v>
      </c>
      <c r="AW390">
        <f t="shared" si="61"/>
        <v>0</v>
      </c>
      <c r="AX390">
        <f t="shared" si="62"/>
        <v>1</v>
      </c>
      <c r="AY390">
        <f t="shared" si="63"/>
        <v>1</v>
      </c>
    </row>
    <row r="391" spans="38:51" x14ac:dyDescent="0.35">
      <c r="AL391" s="19" t="s">
        <v>149</v>
      </c>
      <c r="AM391">
        <f t="shared" si="51"/>
        <v>0</v>
      </c>
      <c r="AN391">
        <f t="shared" si="52"/>
        <v>1</v>
      </c>
      <c r="AO391">
        <f t="shared" si="53"/>
        <v>2</v>
      </c>
      <c r="AP391">
        <f t="shared" si="54"/>
        <v>0</v>
      </c>
      <c r="AQ391">
        <f t="shared" si="55"/>
        <v>0</v>
      </c>
      <c r="AR391">
        <f t="shared" si="56"/>
        <v>0</v>
      </c>
      <c r="AS391">
        <f t="shared" si="57"/>
        <v>1</v>
      </c>
      <c r="AT391">
        <f t="shared" si="58"/>
        <v>3</v>
      </c>
      <c r="AU391">
        <f t="shared" si="59"/>
        <v>1</v>
      </c>
      <c r="AV391">
        <f t="shared" si="60"/>
        <v>0</v>
      </c>
      <c r="AW391">
        <f t="shared" si="61"/>
        <v>1</v>
      </c>
      <c r="AX391">
        <f t="shared" si="62"/>
        <v>2</v>
      </c>
      <c r="AY391">
        <f t="shared" si="63"/>
        <v>0</v>
      </c>
    </row>
    <row r="392" spans="38:51" x14ac:dyDescent="0.35">
      <c r="AL392" s="19" t="s">
        <v>150</v>
      </c>
      <c r="AM392">
        <f t="shared" si="51"/>
        <v>4</v>
      </c>
      <c r="AN392">
        <f t="shared" si="52"/>
        <v>5</v>
      </c>
      <c r="AO392">
        <f t="shared" si="53"/>
        <v>3</v>
      </c>
      <c r="AP392">
        <f t="shared" si="54"/>
        <v>0</v>
      </c>
      <c r="AQ392">
        <f t="shared" si="55"/>
        <v>3</v>
      </c>
      <c r="AR392">
        <f t="shared" si="56"/>
        <v>0</v>
      </c>
      <c r="AS392">
        <f t="shared" si="57"/>
        <v>0</v>
      </c>
      <c r="AT392">
        <f t="shared" si="58"/>
        <v>0</v>
      </c>
      <c r="AU392">
        <f t="shared" si="59"/>
        <v>1</v>
      </c>
      <c r="AV392">
        <f t="shared" si="60"/>
        <v>4</v>
      </c>
      <c r="AW392">
        <f t="shared" si="61"/>
        <v>1</v>
      </c>
      <c r="AX392">
        <f t="shared" si="62"/>
        <v>0</v>
      </c>
      <c r="AY392">
        <f t="shared" si="63"/>
        <v>2</v>
      </c>
    </row>
    <row r="393" spans="38:51" x14ac:dyDescent="0.35">
      <c r="AL393" s="19" t="s">
        <v>151</v>
      </c>
      <c r="AM393">
        <f t="shared" si="51"/>
        <v>0</v>
      </c>
      <c r="AN393">
        <f t="shared" si="52"/>
        <v>1</v>
      </c>
      <c r="AO393">
        <f t="shared" si="53"/>
        <v>0</v>
      </c>
      <c r="AP393">
        <f t="shared" si="54"/>
        <v>0</v>
      </c>
      <c r="AQ393">
        <f t="shared" si="55"/>
        <v>0</v>
      </c>
      <c r="AR393">
        <f t="shared" si="56"/>
        <v>0</v>
      </c>
      <c r="AS393">
        <f t="shared" si="57"/>
        <v>0</v>
      </c>
      <c r="AT393">
        <f t="shared" si="58"/>
        <v>0</v>
      </c>
      <c r="AU393">
        <f t="shared" si="59"/>
        <v>0</v>
      </c>
      <c r="AV393">
        <f t="shared" si="60"/>
        <v>0</v>
      </c>
      <c r="AW393">
        <f t="shared" si="61"/>
        <v>0</v>
      </c>
      <c r="AX393">
        <f t="shared" si="62"/>
        <v>0</v>
      </c>
      <c r="AY393">
        <f t="shared" si="63"/>
        <v>0</v>
      </c>
    </row>
    <row r="394" spans="38:51" x14ac:dyDescent="0.35">
      <c r="AL394" s="19" t="s">
        <v>152</v>
      </c>
      <c r="AM394">
        <f t="shared" si="51"/>
        <v>6</v>
      </c>
      <c r="AN394">
        <f t="shared" si="52"/>
        <v>6</v>
      </c>
      <c r="AO394">
        <f t="shared" si="53"/>
        <v>4</v>
      </c>
      <c r="AP394">
        <f t="shared" si="54"/>
        <v>1</v>
      </c>
      <c r="AQ394">
        <f t="shared" si="55"/>
        <v>0</v>
      </c>
      <c r="AR394">
        <f t="shared" si="56"/>
        <v>2</v>
      </c>
      <c r="AS394">
        <f t="shared" si="57"/>
        <v>6</v>
      </c>
      <c r="AT394">
        <f t="shared" si="58"/>
        <v>5</v>
      </c>
      <c r="AU394">
        <f t="shared" si="59"/>
        <v>6</v>
      </c>
      <c r="AV394">
        <f t="shared" si="60"/>
        <v>7</v>
      </c>
      <c r="AW394">
        <f t="shared" si="61"/>
        <v>7</v>
      </c>
      <c r="AX394">
        <f t="shared" si="62"/>
        <v>3</v>
      </c>
      <c r="AY394">
        <f t="shared" si="63"/>
        <v>3</v>
      </c>
    </row>
    <row r="395" spans="38:51" x14ac:dyDescent="0.35">
      <c r="AL395" s="19" t="s">
        <v>153</v>
      </c>
      <c r="AM395">
        <f t="shared" si="51"/>
        <v>2</v>
      </c>
      <c r="AN395">
        <f t="shared" si="52"/>
        <v>4</v>
      </c>
      <c r="AO395">
        <f t="shared" si="53"/>
        <v>3</v>
      </c>
      <c r="AP395">
        <f t="shared" si="54"/>
        <v>1</v>
      </c>
      <c r="AQ395">
        <f t="shared" si="55"/>
        <v>0</v>
      </c>
      <c r="AR395">
        <f t="shared" si="56"/>
        <v>0</v>
      </c>
      <c r="AS395">
        <f t="shared" si="57"/>
        <v>3</v>
      </c>
      <c r="AT395">
        <f t="shared" si="58"/>
        <v>2</v>
      </c>
      <c r="AU395">
        <f t="shared" si="59"/>
        <v>0</v>
      </c>
      <c r="AV395">
        <f t="shared" si="60"/>
        <v>1</v>
      </c>
      <c r="AW395">
        <f t="shared" si="61"/>
        <v>5</v>
      </c>
      <c r="AX395">
        <f t="shared" si="62"/>
        <v>4</v>
      </c>
      <c r="AY395">
        <f t="shared" si="63"/>
        <v>2</v>
      </c>
    </row>
    <row r="396" spans="38:51" x14ac:dyDescent="0.35">
      <c r="AL396" s="98" t="s">
        <v>154</v>
      </c>
      <c r="AM396">
        <f t="shared" si="51"/>
        <v>4</v>
      </c>
      <c r="AN396">
        <f t="shared" si="52"/>
        <v>6</v>
      </c>
      <c r="AO396">
        <f t="shared" si="53"/>
        <v>3</v>
      </c>
      <c r="AP396">
        <f t="shared" si="54"/>
        <v>0</v>
      </c>
      <c r="AQ396">
        <f t="shared" si="55"/>
        <v>0</v>
      </c>
      <c r="AR396">
        <f t="shared" si="56"/>
        <v>4</v>
      </c>
      <c r="AS396">
        <f t="shared" si="57"/>
        <v>2</v>
      </c>
      <c r="AT396">
        <f t="shared" si="58"/>
        <v>3</v>
      </c>
      <c r="AU396">
        <f t="shared" si="59"/>
        <v>3</v>
      </c>
      <c r="AV396">
        <f t="shared" si="60"/>
        <v>3</v>
      </c>
      <c r="AW396">
        <f t="shared" si="61"/>
        <v>6</v>
      </c>
      <c r="AX396">
        <f t="shared" si="62"/>
        <v>5</v>
      </c>
      <c r="AY396">
        <f t="shared" si="63"/>
        <v>5</v>
      </c>
    </row>
    <row r="397" spans="38:51" x14ac:dyDescent="0.35">
      <c r="AL397" s="19" t="s">
        <v>287</v>
      </c>
      <c r="AM397">
        <f t="shared" si="51"/>
        <v>7</v>
      </c>
      <c r="AN397">
        <f t="shared" si="52"/>
        <v>7</v>
      </c>
      <c r="AO397">
        <f t="shared" si="53"/>
        <v>6</v>
      </c>
      <c r="AP397">
        <f t="shared" si="54"/>
        <v>3</v>
      </c>
      <c r="AQ397">
        <f t="shared" si="55"/>
        <v>0</v>
      </c>
      <c r="AR397">
        <f t="shared" si="56"/>
        <v>1</v>
      </c>
      <c r="AS397">
        <f t="shared" si="57"/>
        <v>0</v>
      </c>
      <c r="AT397">
        <f t="shared" si="58"/>
        <v>5</v>
      </c>
      <c r="AU397">
        <f t="shared" si="59"/>
        <v>5</v>
      </c>
      <c r="AV397">
        <f t="shared" si="60"/>
        <v>4</v>
      </c>
      <c r="AW397">
        <f t="shared" si="61"/>
        <v>4</v>
      </c>
      <c r="AX397">
        <f t="shared" si="62"/>
        <v>3</v>
      </c>
      <c r="AY397">
        <f t="shared" si="63"/>
        <v>0</v>
      </c>
    </row>
    <row r="398" spans="38:51" x14ac:dyDescent="0.35">
      <c r="AL398" s="19" t="s">
        <v>155</v>
      </c>
      <c r="AM398">
        <f t="shared" si="51"/>
        <v>7</v>
      </c>
      <c r="AN398">
        <f t="shared" si="52"/>
        <v>7</v>
      </c>
      <c r="AO398">
        <f t="shared" si="53"/>
        <v>6</v>
      </c>
      <c r="AP398">
        <f t="shared" si="54"/>
        <v>2</v>
      </c>
      <c r="AQ398">
        <f t="shared" si="55"/>
        <v>4</v>
      </c>
      <c r="AR398">
        <f t="shared" si="56"/>
        <v>4</v>
      </c>
      <c r="AS398">
        <f t="shared" si="57"/>
        <v>6</v>
      </c>
      <c r="AT398">
        <f t="shared" si="58"/>
        <v>7</v>
      </c>
      <c r="AU398">
        <f t="shared" si="59"/>
        <v>7</v>
      </c>
      <c r="AV398">
        <f t="shared" si="60"/>
        <v>7</v>
      </c>
      <c r="AW398">
        <f t="shared" si="61"/>
        <v>5</v>
      </c>
      <c r="AX398">
        <f t="shared" si="62"/>
        <v>7</v>
      </c>
      <c r="AY398">
        <f t="shared" si="63"/>
        <v>7</v>
      </c>
    </row>
    <row r="399" spans="38:51" x14ac:dyDescent="0.35">
      <c r="AL399" s="19" t="s">
        <v>292</v>
      </c>
      <c r="AM399">
        <f t="shared" si="51"/>
        <v>2</v>
      </c>
      <c r="AN399">
        <f t="shared" si="52"/>
        <v>1</v>
      </c>
      <c r="AO399">
        <f t="shared" si="53"/>
        <v>1</v>
      </c>
      <c r="AP399">
        <f t="shared" si="54"/>
        <v>0</v>
      </c>
      <c r="AQ399">
        <f t="shared" si="55"/>
        <v>0</v>
      </c>
      <c r="AR399">
        <f t="shared" si="56"/>
        <v>4</v>
      </c>
      <c r="AS399">
        <f t="shared" si="57"/>
        <v>4</v>
      </c>
      <c r="AT399">
        <f t="shared" si="58"/>
        <v>0</v>
      </c>
      <c r="AU399">
        <f t="shared" si="59"/>
        <v>5</v>
      </c>
      <c r="AV399">
        <f t="shared" si="60"/>
        <v>5</v>
      </c>
      <c r="AW399">
        <f t="shared" si="61"/>
        <v>3</v>
      </c>
      <c r="AX399">
        <f t="shared" si="62"/>
        <v>1</v>
      </c>
      <c r="AY399">
        <f t="shared" si="63"/>
        <v>2</v>
      </c>
    </row>
    <row r="400" spans="38:51" x14ac:dyDescent="0.35">
      <c r="AL400" s="19" t="s">
        <v>219</v>
      </c>
      <c r="AM400">
        <f t="shared" si="51"/>
        <v>0</v>
      </c>
      <c r="AN400">
        <f t="shared" si="52"/>
        <v>2</v>
      </c>
      <c r="AO400">
        <f t="shared" si="53"/>
        <v>0</v>
      </c>
      <c r="AP400">
        <f t="shared" si="54"/>
        <v>0</v>
      </c>
      <c r="AQ400">
        <f t="shared" si="55"/>
        <v>0</v>
      </c>
      <c r="AR400">
        <f t="shared" si="56"/>
        <v>3</v>
      </c>
      <c r="AS400">
        <f t="shared" si="57"/>
        <v>1</v>
      </c>
      <c r="AT400">
        <f t="shared" si="58"/>
        <v>2</v>
      </c>
      <c r="AU400">
        <f t="shared" si="59"/>
        <v>2</v>
      </c>
      <c r="AV400">
        <f t="shared" si="60"/>
        <v>5</v>
      </c>
      <c r="AW400">
        <f t="shared" si="61"/>
        <v>2</v>
      </c>
      <c r="AX400">
        <f t="shared" si="62"/>
        <v>0</v>
      </c>
      <c r="AY400">
        <f t="shared" si="63"/>
        <v>0</v>
      </c>
    </row>
    <row r="401" spans="38:51" x14ac:dyDescent="0.35">
      <c r="AL401" s="19" t="s">
        <v>156</v>
      </c>
      <c r="AM401">
        <f t="shared" si="51"/>
        <v>3</v>
      </c>
      <c r="AN401">
        <f t="shared" si="52"/>
        <v>1</v>
      </c>
      <c r="AO401">
        <f t="shared" si="53"/>
        <v>0</v>
      </c>
      <c r="AP401">
        <f t="shared" si="54"/>
        <v>0</v>
      </c>
      <c r="AQ401">
        <f t="shared" si="55"/>
        <v>0</v>
      </c>
      <c r="AR401">
        <f t="shared" si="56"/>
        <v>0</v>
      </c>
      <c r="AS401">
        <f t="shared" si="57"/>
        <v>0</v>
      </c>
      <c r="AT401">
        <f t="shared" si="58"/>
        <v>0</v>
      </c>
      <c r="AU401">
        <f t="shared" si="59"/>
        <v>0</v>
      </c>
      <c r="AV401">
        <f t="shared" si="60"/>
        <v>3</v>
      </c>
      <c r="AW401">
        <f t="shared" si="61"/>
        <v>4</v>
      </c>
      <c r="AX401">
        <f t="shared" si="62"/>
        <v>5</v>
      </c>
      <c r="AY401">
        <f t="shared" si="63"/>
        <v>4</v>
      </c>
    </row>
    <row r="402" spans="38:51" x14ac:dyDescent="0.35">
      <c r="AL402" s="19" t="s">
        <v>157</v>
      </c>
      <c r="AM402">
        <f t="shared" si="51"/>
        <v>1</v>
      </c>
      <c r="AN402">
        <f t="shared" si="52"/>
        <v>1</v>
      </c>
      <c r="AO402">
        <f t="shared" si="53"/>
        <v>0</v>
      </c>
      <c r="AP402">
        <f t="shared" si="54"/>
        <v>0</v>
      </c>
      <c r="AQ402">
        <f t="shared" si="55"/>
        <v>0</v>
      </c>
      <c r="AR402">
        <f t="shared" si="56"/>
        <v>0</v>
      </c>
      <c r="AS402">
        <f t="shared" si="57"/>
        <v>1</v>
      </c>
      <c r="AT402">
        <f t="shared" si="58"/>
        <v>0</v>
      </c>
      <c r="AU402">
        <f t="shared" si="59"/>
        <v>0</v>
      </c>
      <c r="AV402">
        <f t="shared" si="60"/>
        <v>0</v>
      </c>
      <c r="AW402">
        <f t="shared" si="61"/>
        <v>0</v>
      </c>
      <c r="AX402">
        <f t="shared" si="62"/>
        <v>0</v>
      </c>
      <c r="AY402">
        <f t="shared" si="63"/>
        <v>0</v>
      </c>
    </row>
    <row r="403" spans="38:51" x14ac:dyDescent="0.35">
      <c r="AL403" s="19" t="s">
        <v>158</v>
      </c>
      <c r="AM403">
        <f t="shared" si="51"/>
        <v>2</v>
      </c>
      <c r="AN403">
        <f t="shared" si="52"/>
        <v>3</v>
      </c>
      <c r="AO403">
        <f t="shared" si="53"/>
        <v>0</v>
      </c>
      <c r="AP403">
        <f t="shared" si="54"/>
        <v>0</v>
      </c>
      <c r="AQ403">
        <f t="shared" si="55"/>
        <v>0</v>
      </c>
      <c r="AR403">
        <f t="shared" si="56"/>
        <v>0</v>
      </c>
      <c r="AS403">
        <f t="shared" si="57"/>
        <v>0</v>
      </c>
      <c r="AT403">
        <f t="shared" si="58"/>
        <v>0</v>
      </c>
      <c r="AU403">
        <f t="shared" si="59"/>
        <v>0</v>
      </c>
      <c r="AV403">
        <f t="shared" si="60"/>
        <v>0</v>
      </c>
      <c r="AW403">
        <f t="shared" si="61"/>
        <v>0</v>
      </c>
      <c r="AX403">
        <f t="shared" si="62"/>
        <v>0</v>
      </c>
      <c r="AY403">
        <f t="shared" si="63"/>
        <v>0</v>
      </c>
    </row>
    <row r="404" spans="38:51" x14ac:dyDescent="0.35">
      <c r="AL404" s="19" t="s">
        <v>216</v>
      </c>
      <c r="AM404">
        <f t="shared" si="51"/>
        <v>0</v>
      </c>
      <c r="AN404">
        <f t="shared" si="52"/>
        <v>0</v>
      </c>
      <c r="AO404">
        <f t="shared" si="53"/>
        <v>0</v>
      </c>
      <c r="AP404">
        <f t="shared" si="54"/>
        <v>0</v>
      </c>
      <c r="AQ404">
        <f t="shared" si="55"/>
        <v>0</v>
      </c>
      <c r="AR404">
        <f t="shared" si="56"/>
        <v>0</v>
      </c>
      <c r="AS404">
        <f t="shared" si="57"/>
        <v>0</v>
      </c>
      <c r="AT404">
        <f t="shared" si="58"/>
        <v>0</v>
      </c>
      <c r="AU404">
        <f t="shared" si="59"/>
        <v>0</v>
      </c>
      <c r="AV404">
        <f t="shared" si="60"/>
        <v>4</v>
      </c>
      <c r="AW404">
        <f t="shared" si="61"/>
        <v>0</v>
      </c>
      <c r="AX404">
        <f t="shared" si="62"/>
        <v>6</v>
      </c>
      <c r="AY404">
        <f t="shared" si="63"/>
        <v>2</v>
      </c>
    </row>
    <row r="405" spans="38:51" x14ac:dyDescent="0.35">
      <c r="AL405" s="19" t="s">
        <v>337</v>
      </c>
      <c r="AM405">
        <f t="shared" si="51"/>
        <v>6</v>
      </c>
      <c r="AN405">
        <f t="shared" si="52"/>
        <v>7</v>
      </c>
      <c r="AO405">
        <f t="shared" si="53"/>
        <v>4</v>
      </c>
      <c r="AP405">
        <f t="shared" si="54"/>
        <v>0</v>
      </c>
      <c r="AQ405">
        <f t="shared" si="55"/>
        <v>0</v>
      </c>
      <c r="AR405">
        <f t="shared" si="56"/>
        <v>0</v>
      </c>
      <c r="AS405">
        <f t="shared" si="57"/>
        <v>2</v>
      </c>
      <c r="AT405">
        <f t="shared" si="58"/>
        <v>3</v>
      </c>
      <c r="AU405">
        <f t="shared" si="59"/>
        <v>4</v>
      </c>
      <c r="AV405">
        <f t="shared" si="60"/>
        <v>2</v>
      </c>
      <c r="AW405">
        <f t="shared" si="61"/>
        <v>0</v>
      </c>
      <c r="AX405">
        <f t="shared" si="62"/>
        <v>2</v>
      </c>
      <c r="AY405">
        <f t="shared" si="63"/>
        <v>0</v>
      </c>
    </row>
    <row r="406" spans="38:51" x14ac:dyDescent="0.35">
      <c r="AL406" s="19" t="s">
        <v>159</v>
      </c>
      <c r="AM406">
        <f t="shared" si="51"/>
        <v>4</v>
      </c>
      <c r="AN406">
        <f t="shared" si="52"/>
        <v>5</v>
      </c>
      <c r="AO406">
        <f t="shared" si="53"/>
        <v>2</v>
      </c>
      <c r="AP406">
        <f t="shared" si="54"/>
        <v>0</v>
      </c>
      <c r="AQ406">
        <f t="shared" si="55"/>
        <v>1</v>
      </c>
      <c r="AR406">
        <f t="shared" si="56"/>
        <v>0</v>
      </c>
      <c r="AS406">
        <f t="shared" si="57"/>
        <v>4</v>
      </c>
      <c r="AT406">
        <f t="shared" si="58"/>
        <v>0</v>
      </c>
      <c r="AU406">
        <f t="shared" si="59"/>
        <v>4</v>
      </c>
      <c r="AV406">
        <f t="shared" si="60"/>
        <v>6</v>
      </c>
      <c r="AW406">
        <f t="shared" si="61"/>
        <v>3</v>
      </c>
      <c r="AX406">
        <f t="shared" si="62"/>
        <v>2</v>
      </c>
      <c r="AY406">
        <f t="shared" si="63"/>
        <v>2</v>
      </c>
    </row>
    <row r="407" spans="38:51" x14ac:dyDescent="0.35">
      <c r="AL407" s="19" t="s">
        <v>290</v>
      </c>
      <c r="AM407">
        <f t="shared" si="51"/>
        <v>0</v>
      </c>
      <c r="AN407">
        <f t="shared" si="52"/>
        <v>0</v>
      </c>
      <c r="AO407">
        <f t="shared" si="53"/>
        <v>0</v>
      </c>
      <c r="AP407">
        <f t="shared" si="54"/>
        <v>0</v>
      </c>
      <c r="AQ407">
        <f t="shared" si="55"/>
        <v>0</v>
      </c>
      <c r="AR407">
        <f t="shared" si="56"/>
        <v>1</v>
      </c>
      <c r="AS407">
        <f t="shared" si="57"/>
        <v>1</v>
      </c>
      <c r="AT407">
        <f t="shared" si="58"/>
        <v>0</v>
      </c>
      <c r="AU407">
        <f t="shared" si="59"/>
        <v>1</v>
      </c>
      <c r="AV407">
        <f t="shared" si="60"/>
        <v>1</v>
      </c>
      <c r="AW407">
        <f t="shared" si="61"/>
        <v>2</v>
      </c>
      <c r="AX407">
        <f t="shared" si="62"/>
        <v>3</v>
      </c>
      <c r="AY407">
        <f t="shared" si="63"/>
        <v>0</v>
      </c>
    </row>
    <row r="408" spans="38:51" x14ac:dyDescent="0.35">
      <c r="AL408" s="19" t="s">
        <v>160</v>
      </c>
      <c r="AM408">
        <f t="shared" si="51"/>
        <v>0</v>
      </c>
      <c r="AN408">
        <f t="shared" si="52"/>
        <v>0</v>
      </c>
      <c r="AO408">
        <f t="shared" si="53"/>
        <v>0</v>
      </c>
      <c r="AP408">
        <f t="shared" si="54"/>
        <v>0</v>
      </c>
      <c r="AQ408">
        <f t="shared" si="55"/>
        <v>0</v>
      </c>
      <c r="AR408">
        <f t="shared" si="56"/>
        <v>0</v>
      </c>
      <c r="AS408">
        <f t="shared" si="57"/>
        <v>0</v>
      </c>
      <c r="AT408">
        <f t="shared" si="58"/>
        <v>0</v>
      </c>
      <c r="AU408">
        <f t="shared" si="59"/>
        <v>0</v>
      </c>
      <c r="AV408">
        <f t="shared" si="60"/>
        <v>0</v>
      </c>
      <c r="AW408">
        <f t="shared" si="61"/>
        <v>0</v>
      </c>
      <c r="AX408">
        <f t="shared" si="62"/>
        <v>0</v>
      </c>
      <c r="AY408">
        <f t="shared" si="63"/>
        <v>0</v>
      </c>
    </row>
    <row r="409" spans="38:51" x14ac:dyDescent="0.35">
      <c r="AL409" s="19" t="s">
        <v>161</v>
      </c>
      <c r="AM409">
        <f t="shared" si="51"/>
        <v>0</v>
      </c>
      <c r="AN409">
        <f t="shared" si="52"/>
        <v>0</v>
      </c>
      <c r="AO409">
        <f t="shared" si="53"/>
        <v>0</v>
      </c>
      <c r="AP409">
        <f t="shared" si="54"/>
        <v>0</v>
      </c>
      <c r="AQ409">
        <f t="shared" si="55"/>
        <v>0</v>
      </c>
      <c r="AR409">
        <f t="shared" si="56"/>
        <v>0</v>
      </c>
      <c r="AS409">
        <f t="shared" si="57"/>
        <v>0</v>
      </c>
      <c r="AT409">
        <f t="shared" si="58"/>
        <v>0</v>
      </c>
      <c r="AU409">
        <f t="shared" si="59"/>
        <v>0</v>
      </c>
      <c r="AV409">
        <f t="shared" si="60"/>
        <v>0</v>
      </c>
      <c r="AW409">
        <f t="shared" si="61"/>
        <v>0</v>
      </c>
      <c r="AX409">
        <f t="shared" si="62"/>
        <v>0</v>
      </c>
      <c r="AY409">
        <f t="shared" si="63"/>
        <v>0</v>
      </c>
    </row>
    <row r="410" spans="38:51" x14ac:dyDescent="0.35">
      <c r="AL410" s="19" t="s">
        <v>162</v>
      </c>
      <c r="AM410">
        <f>COUNTIF($AM126:$AS126,"&gt;=95%")</f>
        <v>7</v>
      </c>
      <c r="AN410">
        <f>COUNTIF($AU126:$BA126,"&gt;=95%")</f>
        <v>5</v>
      </c>
      <c r="AO410">
        <f t="shared" si="53"/>
        <v>6</v>
      </c>
      <c r="AP410">
        <f t="shared" si="54"/>
        <v>4</v>
      </c>
      <c r="AQ410">
        <f t="shared" si="55"/>
        <v>6</v>
      </c>
      <c r="AR410">
        <f t="shared" si="56"/>
        <v>3</v>
      </c>
      <c r="AS410">
        <f t="shared" si="57"/>
        <v>4</v>
      </c>
      <c r="AT410">
        <f t="shared" si="58"/>
        <v>7</v>
      </c>
      <c r="AU410">
        <f t="shared" si="59"/>
        <v>5</v>
      </c>
      <c r="AV410">
        <f t="shared" si="60"/>
        <v>7</v>
      </c>
      <c r="AW410">
        <f t="shared" si="61"/>
        <v>7</v>
      </c>
      <c r="AX410">
        <f t="shared" si="62"/>
        <v>7</v>
      </c>
      <c r="AY410">
        <f t="shared" si="63"/>
        <v>7</v>
      </c>
    </row>
    <row r="411" spans="38:51" x14ac:dyDescent="0.35">
      <c r="AL411" s="19" t="s">
        <v>163</v>
      </c>
      <c r="AM411">
        <f>COUNTIF($AM127:$AS127,"&gt;=95%")</f>
        <v>2</v>
      </c>
      <c r="AN411">
        <f t="shared" si="52"/>
        <v>0</v>
      </c>
      <c r="AO411">
        <f t="shared" si="53"/>
        <v>0</v>
      </c>
      <c r="AP411">
        <f t="shared" si="54"/>
        <v>0</v>
      </c>
      <c r="AQ411">
        <f t="shared" si="55"/>
        <v>0</v>
      </c>
      <c r="AR411">
        <f t="shared" si="56"/>
        <v>0</v>
      </c>
      <c r="AS411">
        <f t="shared" si="57"/>
        <v>1</v>
      </c>
      <c r="AT411">
        <f t="shared" si="58"/>
        <v>4</v>
      </c>
      <c r="AU411">
        <f t="shared" si="59"/>
        <v>7</v>
      </c>
      <c r="AV411">
        <f t="shared" si="60"/>
        <v>5</v>
      </c>
      <c r="AW411">
        <f t="shared" si="61"/>
        <v>6</v>
      </c>
      <c r="AX411">
        <f t="shared" si="62"/>
        <v>2</v>
      </c>
      <c r="AY411">
        <f t="shared" si="63"/>
        <v>0</v>
      </c>
    </row>
    <row r="412" spans="38:51" x14ac:dyDescent="0.35">
      <c r="AL412" s="19" t="s">
        <v>164</v>
      </c>
      <c r="AM412">
        <f>COUNTIF($AM128:$AS128,"&gt;=95%")</f>
        <v>1</v>
      </c>
      <c r="AN412">
        <f>COUNTIF($AU128:$BA128,"&gt;=95%")</f>
        <v>3</v>
      </c>
      <c r="AO412">
        <f t="shared" si="53"/>
        <v>1</v>
      </c>
      <c r="AP412">
        <f t="shared" si="54"/>
        <v>2</v>
      </c>
      <c r="AQ412">
        <f t="shared" si="55"/>
        <v>0</v>
      </c>
      <c r="AR412">
        <f t="shared" si="56"/>
        <v>2</v>
      </c>
      <c r="AS412">
        <f t="shared" si="57"/>
        <v>3</v>
      </c>
      <c r="AT412">
        <f t="shared" si="58"/>
        <v>0</v>
      </c>
      <c r="AU412">
        <f t="shared" si="59"/>
        <v>1</v>
      </c>
      <c r="AV412">
        <f t="shared" si="60"/>
        <v>0</v>
      </c>
      <c r="AW412">
        <f t="shared" si="61"/>
        <v>0</v>
      </c>
      <c r="AX412">
        <f t="shared" si="62"/>
        <v>0</v>
      </c>
      <c r="AY412">
        <f t="shared" si="63"/>
        <v>0</v>
      </c>
    </row>
    <row r="413" spans="38:51" x14ac:dyDescent="0.35">
      <c r="AL413" s="19" t="s">
        <v>165</v>
      </c>
      <c r="AM413">
        <f t="shared" si="51"/>
        <v>7</v>
      </c>
      <c r="AN413">
        <f>COUNTIF($AU129:$BA129,"&gt;=95%")</f>
        <v>7</v>
      </c>
      <c r="AO413">
        <f t="shared" si="53"/>
        <v>7</v>
      </c>
      <c r="AP413">
        <f t="shared" si="54"/>
        <v>3</v>
      </c>
      <c r="AQ413">
        <f t="shared" si="55"/>
        <v>6</v>
      </c>
      <c r="AR413">
        <f t="shared" si="56"/>
        <v>7</v>
      </c>
      <c r="AS413">
        <f t="shared" si="57"/>
        <v>7</v>
      </c>
      <c r="AT413">
        <f t="shared" si="58"/>
        <v>7</v>
      </c>
      <c r="AU413">
        <f t="shared" si="59"/>
        <v>7</v>
      </c>
      <c r="AV413">
        <f t="shared" si="60"/>
        <v>7</v>
      </c>
      <c r="AW413">
        <f t="shared" si="61"/>
        <v>7</v>
      </c>
      <c r="AX413">
        <f t="shared" si="62"/>
        <v>7</v>
      </c>
      <c r="AY413">
        <f t="shared" si="63"/>
        <v>7</v>
      </c>
    </row>
    <row r="414" spans="38:51" x14ac:dyDescent="0.35">
      <c r="AL414" s="19" t="s">
        <v>166</v>
      </c>
      <c r="AM414">
        <f t="shared" si="51"/>
        <v>2</v>
      </c>
      <c r="AN414">
        <f>COUNTIF($AU130:$BA130,"&gt;=95%")</f>
        <v>0</v>
      </c>
      <c r="AO414">
        <f t="shared" si="53"/>
        <v>0</v>
      </c>
      <c r="AP414">
        <f t="shared" si="54"/>
        <v>0</v>
      </c>
      <c r="AQ414">
        <f t="shared" si="55"/>
        <v>0</v>
      </c>
      <c r="AR414">
        <f t="shared" si="56"/>
        <v>0</v>
      </c>
      <c r="AS414">
        <f t="shared" si="57"/>
        <v>0</v>
      </c>
      <c r="AT414">
        <f t="shared" si="58"/>
        <v>0</v>
      </c>
      <c r="AU414">
        <f t="shared" si="59"/>
        <v>0</v>
      </c>
      <c r="AV414">
        <f t="shared" si="60"/>
        <v>0</v>
      </c>
      <c r="AW414">
        <f t="shared" si="61"/>
        <v>0</v>
      </c>
      <c r="AX414">
        <f t="shared" si="62"/>
        <v>0</v>
      </c>
      <c r="AY414">
        <f t="shared" si="63"/>
        <v>0</v>
      </c>
    </row>
    <row r="415" spans="38:51" x14ac:dyDescent="0.35">
      <c r="AL415" s="19" t="s">
        <v>167</v>
      </c>
      <c r="AM415">
        <f t="shared" si="51"/>
        <v>6</v>
      </c>
      <c r="AN415">
        <f>COUNTIF($AU131:$BA131,"&gt;=95%")</f>
        <v>6</v>
      </c>
      <c r="AO415">
        <f t="shared" si="53"/>
        <v>5</v>
      </c>
      <c r="AP415">
        <f t="shared" si="54"/>
        <v>1</v>
      </c>
      <c r="AQ415">
        <f t="shared" si="55"/>
        <v>3</v>
      </c>
      <c r="AR415">
        <f t="shared" si="56"/>
        <v>4</v>
      </c>
      <c r="AS415">
        <f t="shared" si="57"/>
        <v>4</v>
      </c>
      <c r="AT415">
        <f t="shared" si="58"/>
        <v>5</v>
      </c>
      <c r="AU415">
        <f t="shared" si="59"/>
        <v>5</v>
      </c>
      <c r="AV415">
        <f t="shared" si="60"/>
        <v>5</v>
      </c>
      <c r="AW415">
        <f t="shared" si="61"/>
        <v>6</v>
      </c>
      <c r="AX415">
        <f t="shared" si="62"/>
        <v>7</v>
      </c>
      <c r="AY415">
        <f t="shared" si="63"/>
        <v>5</v>
      </c>
    </row>
    <row r="416" spans="38:51" x14ac:dyDescent="0.35">
      <c r="AL416" s="19" t="s">
        <v>338</v>
      </c>
      <c r="AM416">
        <f t="shared" si="51"/>
        <v>0</v>
      </c>
      <c r="AN416">
        <f t="shared" si="52"/>
        <v>0</v>
      </c>
      <c r="AO416">
        <f t="shared" si="53"/>
        <v>0</v>
      </c>
      <c r="AP416">
        <f t="shared" si="54"/>
        <v>0</v>
      </c>
      <c r="AQ416">
        <f t="shared" si="55"/>
        <v>0</v>
      </c>
      <c r="AR416">
        <f t="shared" si="56"/>
        <v>1</v>
      </c>
      <c r="AS416">
        <f t="shared" si="57"/>
        <v>0</v>
      </c>
      <c r="AT416">
        <f t="shared" si="58"/>
        <v>0</v>
      </c>
      <c r="AU416">
        <f t="shared" si="59"/>
        <v>1</v>
      </c>
      <c r="AV416">
        <f t="shared" si="60"/>
        <v>0</v>
      </c>
      <c r="AW416">
        <f t="shared" si="61"/>
        <v>0</v>
      </c>
      <c r="AX416">
        <f t="shared" si="62"/>
        <v>0</v>
      </c>
      <c r="AY416">
        <f t="shared" si="63"/>
        <v>0</v>
      </c>
    </row>
    <row r="417" spans="38:52" x14ac:dyDescent="0.35">
      <c r="AL417" s="19"/>
    </row>
    <row r="418" spans="38:52" x14ac:dyDescent="0.35">
      <c r="AL418" s="19"/>
    </row>
    <row r="419" spans="38:52" x14ac:dyDescent="0.35">
      <c r="AL419" s="19"/>
    </row>
    <row r="420" spans="38:52" x14ac:dyDescent="0.35">
      <c r="AL420" s="19"/>
    </row>
    <row r="421" spans="38:52" x14ac:dyDescent="0.35">
      <c r="AL421" s="19"/>
    </row>
    <row r="422" spans="38:52" x14ac:dyDescent="0.35">
      <c r="AL422" s="19"/>
    </row>
    <row r="423" spans="38:52" x14ac:dyDescent="0.35">
      <c r="AL423" s="19"/>
    </row>
    <row r="424" spans="38:52" x14ac:dyDescent="0.35">
      <c r="AL424" s="19"/>
    </row>
    <row r="425" spans="38:52" x14ac:dyDescent="0.35">
      <c r="AL425" s="19"/>
    </row>
    <row r="426" spans="38:52" x14ac:dyDescent="0.35">
      <c r="AL426" s="19"/>
    </row>
    <row r="427" spans="38:52" x14ac:dyDescent="0.35">
      <c r="AL427" s="19"/>
    </row>
    <row r="428" spans="38:52" x14ac:dyDescent="0.35">
      <c r="AL428" s="19"/>
      <c r="AN428" s="116"/>
    </row>
    <row r="431" spans="38:52" x14ac:dyDescent="0.35">
      <c r="AL431" s="32">
        <v>1</v>
      </c>
      <c r="AM431" s="27" t="s">
        <v>42</v>
      </c>
      <c r="AN431" s="27" t="s">
        <v>43</v>
      </c>
      <c r="AO431" s="27" t="s">
        <v>44</v>
      </c>
      <c r="AP431" s="27" t="s">
        <v>45</v>
      </c>
      <c r="AQ431" s="27" t="s">
        <v>46</v>
      </c>
      <c r="AR431" s="27" t="s">
        <v>47</v>
      </c>
      <c r="AS431" s="27" t="s">
        <v>48</v>
      </c>
      <c r="AT431" s="27" t="s">
        <v>49</v>
      </c>
      <c r="AU431" s="27" t="s">
        <v>50</v>
      </c>
      <c r="AV431" s="27" t="s">
        <v>51</v>
      </c>
      <c r="AW431" s="27" t="s">
        <v>52</v>
      </c>
      <c r="AX431" s="27" t="s">
        <v>53</v>
      </c>
      <c r="AY431" s="27" t="s">
        <v>54</v>
      </c>
      <c r="AZ431" s="27"/>
    </row>
    <row r="432" spans="38:52" x14ac:dyDescent="0.35">
      <c r="AL432" s="32" t="s">
        <v>35</v>
      </c>
      <c r="AM432" s="27">
        <f>IF((COUNTIF(AM433:AM566,"&gt;0"))=0, " ", (COUNTIF(AM433:AM566,"&gt;0")))</f>
        <v>4</v>
      </c>
      <c r="AN432" s="27">
        <f t="shared" ref="AN432:AY432" si="64">IF((COUNTIF(AN433:AN566,"&gt;0"))=0, " ", (COUNTIF(AN433:AN566,"&gt;0")))</f>
        <v>7</v>
      </c>
      <c r="AO432" s="27">
        <f t="shared" si="64"/>
        <v>2</v>
      </c>
      <c r="AP432" s="27">
        <f t="shared" si="64"/>
        <v>2</v>
      </c>
      <c r="AQ432" s="27">
        <f t="shared" si="64"/>
        <v>2</v>
      </c>
      <c r="AR432" s="27">
        <f t="shared" si="64"/>
        <v>4</v>
      </c>
      <c r="AS432" s="27">
        <f t="shared" si="64"/>
        <v>3</v>
      </c>
      <c r="AT432" s="27">
        <f t="shared" si="64"/>
        <v>2</v>
      </c>
      <c r="AU432" s="27">
        <f t="shared" si="64"/>
        <v>2</v>
      </c>
      <c r="AV432" s="27">
        <f t="shared" si="64"/>
        <v>6</v>
      </c>
      <c r="AW432" s="27">
        <f t="shared" si="64"/>
        <v>2</v>
      </c>
      <c r="AX432" s="27">
        <f t="shared" si="64"/>
        <v>5</v>
      </c>
      <c r="AY432" s="27">
        <f t="shared" si="64"/>
        <v>2</v>
      </c>
      <c r="AZ432" s="27" t="str">
        <f t="shared" ref="AZ432" si="65">IF(COUNTIF(AZ433:AZ566,"&gt;0")=0,"",COUNTIF(AZ433:AZ566,"&gt;0"))</f>
        <v/>
      </c>
    </row>
    <row r="433" spans="38:51" x14ac:dyDescent="0.35">
      <c r="AL433" s="19" t="s">
        <v>63</v>
      </c>
      <c r="AM433">
        <f>COUNTIF($AM8:$AS8,"&gt;=100%")</f>
        <v>0</v>
      </c>
      <c r="AN433">
        <f>COUNTIF($AU8:$BA8,"&gt;=100%")</f>
        <v>0</v>
      </c>
      <c r="AO433">
        <f>COUNTIF($BC8:$BI8,"&gt;=100%")</f>
        <v>0</v>
      </c>
      <c r="AP433">
        <f>COUNTIF($BK8:$BQ8,"&gt;=100%")</f>
        <v>0</v>
      </c>
      <c r="AQ433">
        <f>COUNTIF($BS8:$BY8,"&gt;=100%")</f>
        <v>0</v>
      </c>
      <c r="AR433">
        <f>COUNTIF($CA8:$CG8,"&gt;=100%")</f>
        <v>0</v>
      </c>
      <c r="AS433">
        <f>COUNTIF($CI8:$CO8,"&gt;=100%")</f>
        <v>0</v>
      </c>
      <c r="AT433">
        <f>COUNTIF($CQ8:$CW8,"&gt;=100%")</f>
        <v>0</v>
      </c>
      <c r="AU433">
        <f>COUNTIF($CY8:$DE8,"&gt;=100%")</f>
        <v>0</v>
      </c>
      <c r="AV433">
        <f>COUNTIF($DG8:$DM8,"&gt;=100%")</f>
        <v>0</v>
      </c>
      <c r="AW433">
        <f>COUNTIF($DO8:$DU8,"&gt;=100%")</f>
        <v>0</v>
      </c>
      <c r="AX433">
        <f>COUNTIF($DW8:$EC8,"&gt;=100%")</f>
        <v>0</v>
      </c>
      <c r="AY433">
        <f>COUNTIF($EE8:$EK8,"&gt;=100%")</f>
        <v>0</v>
      </c>
    </row>
    <row r="434" spans="38:51" x14ac:dyDescent="0.35">
      <c r="AL434" s="19" t="s">
        <v>64</v>
      </c>
      <c r="AM434">
        <f t="shared" ref="AM434:AM497" si="66">COUNTIF($AM9:$AS9,"&gt;=100%")</f>
        <v>0</v>
      </c>
      <c r="AN434">
        <f t="shared" ref="AN434:AN497" si="67">COUNTIF($AU9:$BA9,"&gt;=100%")</f>
        <v>0</v>
      </c>
      <c r="AO434">
        <f t="shared" ref="AO434:AO497" si="68">COUNTIF($BC9:$BI9,"&gt;=100%")</f>
        <v>0</v>
      </c>
      <c r="AP434">
        <f t="shared" ref="AP434:AP497" si="69">COUNTIF($BK9:$BQ9,"&gt;=100%")</f>
        <v>0</v>
      </c>
      <c r="AQ434">
        <f t="shared" ref="AQ434:AQ497" si="70">COUNTIF($BS9:$BY9,"&gt;=100%")</f>
        <v>0</v>
      </c>
      <c r="AR434">
        <f t="shared" ref="AR434:AR497" si="71">COUNTIF($CA9:$CG9,"&gt;=100%")</f>
        <v>0</v>
      </c>
      <c r="AS434">
        <f t="shared" ref="AS434:AS497" si="72">COUNTIF($CI9:$CO9,"&gt;=100%")</f>
        <v>0</v>
      </c>
      <c r="AT434">
        <f t="shared" ref="AT434:AT497" si="73">COUNTIF($CQ9:$CW9,"&gt;=100%")</f>
        <v>0</v>
      </c>
      <c r="AU434">
        <f t="shared" ref="AU434:AU497" si="74">COUNTIF($CY9:$DE9,"&gt;=100%")</f>
        <v>0</v>
      </c>
      <c r="AV434">
        <f t="shared" ref="AV434:AV497" si="75">COUNTIF($DG9:$DM9,"&gt;=100%")</f>
        <v>0</v>
      </c>
      <c r="AW434">
        <f t="shared" ref="AW434:AW497" si="76">COUNTIF($DO9:$DU9,"&gt;=100%")</f>
        <v>0</v>
      </c>
      <c r="AX434">
        <f t="shared" ref="AX434:AX497" si="77">COUNTIF($DW9:$EC9,"&gt;=100%")</f>
        <v>0</v>
      </c>
      <c r="AY434">
        <f t="shared" ref="AY434:AY497" si="78">COUNTIF($EE9:$EK9,"&gt;=100%")</f>
        <v>0</v>
      </c>
    </row>
    <row r="435" spans="38:51" x14ac:dyDescent="0.35">
      <c r="AL435" s="19" t="s">
        <v>65</v>
      </c>
      <c r="AM435">
        <f t="shared" si="66"/>
        <v>0</v>
      </c>
      <c r="AN435">
        <f t="shared" si="67"/>
        <v>0</v>
      </c>
      <c r="AO435">
        <f t="shared" si="68"/>
        <v>0</v>
      </c>
      <c r="AP435">
        <f t="shared" si="69"/>
        <v>0</v>
      </c>
      <c r="AQ435">
        <f t="shared" si="70"/>
        <v>0</v>
      </c>
      <c r="AR435">
        <f t="shared" si="71"/>
        <v>0</v>
      </c>
      <c r="AS435">
        <f t="shared" si="72"/>
        <v>0</v>
      </c>
      <c r="AT435">
        <f t="shared" si="73"/>
        <v>0</v>
      </c>
      <c r="AU435">
        <f t="shared" si="74"/>
        <v>0</v>
      </c>
      <c r="AV435">
        <f t="shared" si="75"/>
        <v>0</v>
      </c>
      <c r="AW435">
        <f t="shared" si="76"/>
        <v>0</v>
      </c>
      <c r="AX435">
        <f t="shared" si="77"/>
        <v>0</v>
      </c>
      <c r="AY435">
        <f t="shared" si="78"/>
        <v>0</v>
      </c>
    </row>
    <row r="436" spans="38:51" x14ac:dyDescent="0.35">
      <c r="AL436" s="19" t="s">
        <v>66</v>
      </c>
      <c r="AM436">
        <f t="shared" si="66"/>
        <v>0</v>
      </c>
      <c r="AN436">
        <f t="shared" si="67"/>
        <v>0</v>
      </c>
      <c r="AO436">
        <f t="shared" si="68"/>
        <v>0</v>
      </c>
      <c r="AP436">
        <f t="shared" si="69"/>
        <v>0</v>
      </c>
      <c r="AQ436">
        <f t="shared" si="70"/>
        <v>0</v>
      </c>
      <c r="AR436">
        <f t="shared" si="71"/>
        <v>0</v>
      </c>
      <c r="AS436">
        <f t="shared" si="72"/>
        <v>0</v>
      </c>
      <c r="AT436">
        <f t="shared" si="73"/>
        <v>0</v>
      </c>
      <c r="AU436">
        <f t="shared" si="74"/>
        <v>0</v>
      </c>
      <c r="AV436">
        <f t="shared" si="75"/>
        <v>0</v>
      </c>
      <c r="AW436">
        <f t="shared" si="76"/>
        <v>0</v>
      </c>
      <c r="AX436">
        <f t="shared" si="77"/>
        <v>0</v>
      </c>
      <c r="AY436">
        <f t="shared" si="78"/>
        <v>0</v>
      </c>
    </row>
    <row r="437" spans="38:51" x14ac:dyDescent="0.35">
      <c r="AL437" s="19" t="s">
        <v>67</v>
      </c>
      <c r="AM437">
        <f t="shared" si="66"/>
        <v>0</v>
      </c>
      <c r="AN437">
        <f t="shared" si="67"/>
        <v>1</v>
      </c>
      <c r="AO437">
        <f t="shared" si="68"/>
        <v>0</v>
      </c>
      <c r="AP437">
        <f t="shared" si="69"/>
        <v>0</v>
      </c>
      <c r="AQ437">
        <f t="shared" si="70"/>
        <v>0</v>
      </c>
      <c r="AR437">
        <f t="shared" si="71"/>
        <v>0</v>
      </c>
      <c r="AS437">
        <f t="shared" si="72"/>
        <v>0</v>
      </c>
      <c r="AT437">
        <f t="shared" si="73"/>
        <v>0</v>
      </c>
      <c r="AU437">
        <f t="shared" si="74"/>
        <v>0</v>
      </c>
      <c r="AV437">
        <f t="shared" si="75"/>
        <v>0</v>
      </c>
      <c r="AW437">
        <f t="shared" si="76"/>
        <v>0</v>
      </c>
      <c r="AX437">
        <f t="shared" si="77"/>
        <v>1</v>
      </c>
      <c r="AY437">
        <f t="shared" si="78"/>
        <v>0</v>
      </c>
    </row>
    <row r="438" spans="38:51" x14ac:dyDescent="0.35">
      <c r="AL438" s="19" t="s">
        <v>68</v>
      </c>
      <c r="AM438">
        <f t="shared" si="66"/>
        <v>0</v>
      </c>
      <c r="AN438">
        <f t="shared" si="67"/>
        <v>0</v>
      </c>
      <c r="AO438">
        <f t="shared" si="68"/>
        <v>0</v>
      </c>
      <c r="AP438">
        <f t="shared" si="69"/>
        <v>0</v>
      </c>
      <c r="AQ438">
        <f t="shared" si="70"/>
        <v>0</v>
      </c>
      <c r="AR438">
        <f t="shared" si="71"/>
        <v>0</v>
      </c>
      <c r="AS438">
        <f t="shared" si="72"/>
        <v>0</v>
      </c>
      <c r="AT438">
        <f t="shared" si="73"/>
        <v>0</v>
      </c>
      <c r="AU438">
        <f t="shared" si="74"/>
        <v>0</v>
      </c>
      <c r="AV438">
        <f t="shared" si="75"/>
        <v>0</v>
      </c>
      <c r="AW438">
        <f t="shared" si="76"/>
        <v>0</v>
      </c>
      <c r="AX438">
        <f t="shared" si="77"/>
        <v>0</v>
      </c>
      <c r="AY438">
        <f t="shared" si="78"/>
        <v>0</v>
      </c>
    </row>
    <row r="439" spans="38:51" x14ac:dyDescent="0.35">
      <c r="AL439" s="19" t="s">
        <v>286</v>
      </c>
      <c r="AM439">
        <f t="shared" si="66"/>
        <v>0</v>
      </c>
      <c r="AN439">
        <f t="shared" si="67"/>
        <v>0</v>
      </c>
      <c r="AO439">
        <f t="shared" si="68"/>
        <v>0</v>
      </c>
      <c r="AP439">
        <f t="shared" si="69"/>
        <v>0</v>
      </c>
      <c r="AQ439">
        <f t="shared" si="70"/>
        <v>0</v>
      </c>
      <c r="AR439">
        <f t="shared" si="71"/>
        <v>0</v>
      </c>
      <c r="AS439">
        <f t="shared" si="72"/>
        <v>0</v>
      </c>
      <c r="AT439">
        <f t="shared" si="73"/>
        <v>0</v>
      </c>
      <c r="AU439">
        <f t="shared" si="74"/>
        <v>0</v>
      </c>
      <c r="AV439">
        <f t="shared" si="75"/>
        <v>0</v>
      </c>
      <c r="AW439">
        <f t="shared" si="76"/>
        <v>0</v>
      </c>
      <c r="AX439">
        <f t="shared" si="77"/>
        <v>0</v>
      </c>
      <c r="AY439">
        <f t="shared" si="78"/>
        <v>0</v>
      </c>
    </row>
    <row r="440" spans="38:51" x14ac:dyDescent="0.35">
      <c r="AL440" s="19" t="s">
        <v>69</v>
      </c>
      <c r="AM440">
        <f t="shared" si="66"/>
        <v>0</v>
      </c>
      <c r="AN440">
        <f t="shared" si="67"/>
        <v>0</v>
      </c>
      <c r="AO440">
        <f t="shared" si="68"/>
        <v>0</v>
      </c>
      <c r="AP440">
        <f t="shared" si="69"/>
        <v>0</v>
      </c>
      <c r="AQ440">
        <f t="shared" si="70"/>
        <v>0</v>
      </c>
      <c r="AR440">
        <f t="shared" si="71"/>
        <v>0</v>
      </c>
      <c r="AS440">
        <f t="shared" si="72"/>
        <v>0</v>
      </c>
      <c r="AT440">
        <f t="shared" si="73"/>
        <v>0</v>
      </c>
      <c r="AU440">
        <f t="shared" si="74"/>
        <v>0</v>
      </c>
      <c r="AV440">
        <f t="shared" si="75"/>
        <v>0</v>
      </c>
      <c r="AW440">
        <f t="shared" si="76"/>
        <v>0</v>
      </c>
      <c r="AX440">
        <f t="shared" si="77"/>
        <v>0</v>
      </c>
      <c r="AY440">
        <f t="shared" si="78"/>
        <v>0</v>
      </c>
    </row>
    <row r="441" spans="38:51" x14ac:dyDescent="0.35">
      <c r="AL441" s="19" t="s">
        <v>70</v>
      </c>
      <c r="AM441">
        <f t="shared" si="66"/>
        <v>0</v>
      </c>
      <c r="AN441">
        <f t="shared" si="67"/>
        <v>0</v>
      </c>
      <c r="AO441">
        <f t="shared" si="68"/>
        <v>0</v>
      </c>
      <c r="AP441">
        <f t="shared" si="69"/>
        <v>0</v>
      </c>
      <c r="AQ441">
        <f t="shared" si="70"/>
        <v>0</v>
      </c>
      <c r="AR441">
        <f t="shared" si="71"/>
        <v>0</v>
      </c>
      <c r="AS441">
        <f t="shared" si="72"/>
        <v>0</v>
      </c>
      <c r="AT441">
        <f t="shared" si="73"/>
        <v>0</v>
      </c>
      <c r="AU441">
        <f t="shared" si="74"/>
        <v>0</v>
      </c>
      <c r="AV441">
        <f t="shared" si="75"/>
        <v>0</v>
      </c>
      <c r="AW441">
        <f t="shared" si="76"/>
        <v>0</v>
      </c>
      <c r="AX441">
        <f t="shared" si="77"/>
        <v>0</v>
      </c>
      <c r="AY441">
        <f t="shared" si="78"/>
        <v>0</v>
      </c>
    </row>
    <row r="442" spans="38:51" x14ac:dyDescent="0.35">
      <c r="AL442" s="19" t="s">
        <v>71</v>
      </c>
      <c r="AM442">
        <f t="shared" si="66"/>
        <v>0</v>
      </c>
      <c r="AN442">
        <f t="shared" si="67"/>
        <v>0</v>
      </c>
      <c r="AO442">
        <f t="shared" si="68"/>
        <v>0</v>
      </c>
      <c r="AP442">
        <f t="shared" si="69"/>
        <v>0</v>
      </c>
      <c r="AQ442">
        <f t="shared" si="70"/>
        <v>0</v>
      </c>
      <c r="AR442">
        <f t="shared" si="71"/>
        <v>0</v>
      </c>
      <c r="AS442">
        <f t="shared" si="72"/>
        <v>0</v>
      </c>
      <c r="AT442">
        <f t="shared" si="73"/>
        <v>0</v>
      </c>
      <c r="AU442">
        <f t="shared" si="74"/>
        <v>0</v>
      </c>
      <c r="AV442">
        <f t="shared" si="75"/>
        <v>0</v>
      </c>
      <c r="AW442">
        <f t="shared" si="76"/>
        <v>0</v>
      </c>
      <c r="AX442">
        <f t="shared" si="77"/>
        <v>0</v>
      </c>
      <c r="AY442">
        <f t="shared" si="78"/>
        <v>0</v>
      </c>
    </row>
    <row r="443" spans="38:51" x14ac:dyDescent="0.35">
      <c r="AL443" s="19" t="s">
        <v>72</v>
      </c>
      <c r="AM443">
        <f t="shared" si="66"/>
        <v>0</v>
      </c>
      <c r="AN443">
        <f t="shared" si="67"/>
        <v>0</v>
      </c>
      <c r="AO443">
        <f t="shared" si="68"/>
        <v>0</v>
      </c>
      <c r="AP443">
        <f t="shared" si="69"/>
        <v>0</v>
      </c>
      <c r="AQ443">
        <f t="shared" si="70"/>
        <v>0</v>
      </c>
      <c r="AR443">
        <f t="shared" si="71"/>
        <v>0</v>
      </c>
      <c r="AS443">
        <f t="shared" si="72"/>
        <v>0</v>
      </c>
      <c r="AT443">
        <f t="shared" si="73"/>
        <v>0</v>
      </c>
      <c r="AU443">
        <f t="shared" si="74"/>
        <v>0</v>
      </c>
      <c r="AV443">
        <f t="shared" si="75"/>
        <v>0</v>
      </c>
      <c r="AW443">
        <f t="shared" si="76"/>
        <v>0</v>
      </c>
      <c r="AX443">
        <f t="shared" si="77"/>
        <v>0</v>
      </c>
      <c r="AY443">
        <f t="shared" si="78"/>
        <v>0</v>
      </c>
    </row>
    <row r="444" spans="38:51" x14ac:dyDescent="0.35">
      <c r="AL444" s="19" t="s">
        <v>73</v>
      </c>
      <c r="AM444">
        <f t="shared" si="66"/>
        <v>0</v>
      </c>
      <c r="AN444">
        <f t="shared" si="67"/>
        <v>0</v>
      </c>
      <c r="AO444">
        <f t="shared" si="68"/>
        <v>0</v>
      </c>
      <c r="AP444">
        <f t="shared" si="69"/>
        <v>0</v>
      </c>
      <c r="AQ444">
        <f t="shared" si="70"/>
        <v>0</v>
      </c>
      <c r="AR444">
        <f t="shared" si="71"/>
        <v>0</v>
      </c>
      <c r="AS444">
        <f t="shared" si="72"/>
        <v>0</v>
      </c>
      <c r="AT444">
        <f t="shared" si="73"/>
        <v>0</v>
      </c>
      <c r="AU444">
        <f t="shared" si="74"/>
        <v>0</v>
      </c>
      <c r="AV444">
        <f t="shared" si="75"/>
        <v>0</v>
      </c>
      <c r="AW444">
        <f t="shared" si="76"/>
        <v>0</v>
      </c>
      <c r="AX444">
        <f t="shared" si="77"/>
        <v>0</v>
      </c>
      <c r="AY444">
        <f t="shared" si="78"/>
        <v>0</v>
      </c>
    </row>
    <row r="445" spans="38:51" x14ac:dyDescent="0.35">
      <c r="AL445" s="19" t="s">
        <v>74</v>
      </c>
      <c r="AM445">
        <f t="shared" si="66"/>
        <v>0</v>
      </c>
      <c r="AN445">
        <f t="shared" si="67"/>
        <v>0</v>
      </c>
      <c r="AO445">
        <f t="shared" si="68"/>
        <v>0</v>
      </c>
      <c r="AP445">
        <f t="shared" si="69"/>
        <v>0</v>
      </c>
      <c r="AQ445">
        <f t="shared" si="70"/>
        <v>0</v>
      </c>
      <c r="AR445">
        <f t="shared" si="71"/>
        <v>0</v>
      </c>
      <c r="AS445">
        <f t="shared" si="72"/>
        <v>0</v>
      </c>
      <c r="AT445">
        <f t="shared" si="73"/>
        <v>0</v>
      </c>
      <c r="AU445">
        <f t="shared" si="74"/>
        <v>0</v>
      </c>
      <c r="AV445">
        <f t="shared" si="75"/>
        <v>0</v>
      </c>
      <c r="AW445">
        <f t="shared" si="76"/>
        <v>0</v>
      </c>
      <c r="AX445">
        <f t="shared" si="77"/>
        <v>0</v>
      </c>
      <c r="AY445">
        <f t="shared" si="78"/>
        <v>0</v>
      </c>
    </row>
    <row r="446" spans="38:51" x14ac:dyDescent="0.35">
      <c r="AL446" s="19" t="s">
        <v>75</v>
      </c>
      <c r="AM446">
        <f t="shared" si="66"/>
        <v>0</v>
      </c>
      <c r="AN446">
        <f t="shared" si="67"/>
        <v>0</v>
      </c>
      <c r="AO446">
        <f t="shared" si="68"/>
        <v>0</v>
      </c>
      <c r="AP446">
        <f t="shared" si="69"/>
        <v>0</v>
      </c>
      <c r="AQ446">
        <f t="shared" si="70"/>
        <v>0</v>
      </c>
      <c r="AR446">
        <f t="shared" si="71"/>
        <v>0</v>
      </c>
      <c r="AS446">
        <f t="shared" si="72"/>
        <v>0</v>
      </c>
      <c r="AT446">
        <f t="shared" si="73"/>
        <v>0</v>
      </c>
      <c r="AU446">
        <f t="shared" si="74"/>
        <v>0</v>
      </c>
      <c r="AV446">
        <f t="shared" si="75"/>
        <v>0</v>
      </c>
      <c r="AW446">
        <f t="shared" si="76"/>
        <v>0</v>
      </c>
      <c r="AX446">
        <f t="shared" si="77"/>
        <v>0</v>
      </c>
      <c r="AY446">
        <f t="shared" si="78"/>
        <v>0</v>
      </c>
    </row>
    <row r="447" spans="38:51" x14ac:dyDescent="0.35">
      <c r="AL447" s="19" t="s">
        <v>76</v>
      </c>
      <c r="AM447">
        <f t="shared" si="66"/>
        <v>0</v>
      </c>
      <c r="AN447">
        <f t="shared" si="67"/>
        <v>0</v>
      </c>
      <c r="AO447">
        <f t="shared" si="68"/>
        <v>0</v>
      </c>
      <c r="AP447">
        <f t="shared" si="69"/>
        <v>0</v>
      </c>
      <c r="AQ447">
        <f t="shared" si="70"/>
        <v>0</v>
      </c>
      <c r="AR447">
        <f t="shared" si="71"/>
        <v>0</v>
      </c>
      <c r="AS447">
        <f t="shared" si="72"/>
        <v>0</v>
      </c>
      <c r="AT447">
        <f t="shared" si="73"/>
        <v>0</v>
      </c>
      <c r="AU447">
        <f t="shared" si="74"/>
        <v>0</v>
      </c>
      <c r="AV447">
        <f t="shared" si="75"/>
        <v>0</v>
      </c>
      <c r="AW447">
        <f t="shared" si="76"/>
        <v>0</v>
      </c>
      <c r="AX447">
        <f t="shared" si="77"/>
        <v>0</v>
      </c>
      <c r="AY447">
        <f t="shared" si="78"/>
        <v>0</v>
      </c>
    </row>
    <row r="448" spans="38:51" x14ac:dyDescent="0.35">
      <c r="AL448" s="19" t="s">
        <v>77</v>
      </c>
      <c r="AM448">
        <f t="shared" si="66"/>
        <v>0</v>
      </c>
      <c r="AN448">
        <f t="shared" si="67"/>
        <v>0</v>
      </c>
      <c r="AO448">
        <f t="shared" si="68"/>
        <v>0</v>
      </c>
      <c r="AP448">
        <f t="shared" si="69"/>
        <v>0</v>
      </c>
      <c r="AQ448">
        <f t="shared" si="70"/>
        <v>0</v>
      </c>
      <c r="AR448">
        <f t="shared" si="71"/>
        <v>0</v>
      </c>
      <c r="AS448">
        <f t="shared" si="72"/>
        <v>0</v>
      </c>
      <c r="AT448">
        <f t="shared" si="73"/>
        <v>0</v>
      </c>
      <c r="AU448">
        <f t="shared" si="74"/>
        <v>0</v>
      </c>
      <c r="AV448">
        <f t="shared" si="75"/>
        <v>0</v>
      </c>
      <c r="AW448">
        <f t="shared" si="76"/>
        <v>0</v>
      </c>
      <c r="AX448">
        <f t="shared" si="77"/>
        <v>0</v>
      </c>
      <c r="AY448">
        <f t="shared" si="78"/>
        <v>0</v>
      </c>
    </row>
    <row r="449" spans="38:51" x14ac:dyDescent="0.35">
      <c r="AL449" s="19" t="s">
        <v>78</v>
      </c>
      <c r="AM449">
        <f t="shared" si="66"/>
        <v>0</v>
      </c>
      <c r="AN449">
        <f t="shared" si="67"/>
        <v>0</v>
      </c>
      <c r="AO449">
        <f t="shared" si="68"/>
        <v>0</v>
      </c>
      <c r="AP449">
        <f t="shared" si="69"/>
        <v>0</v>
      </c>
      <c r="AQ449">
        <f t="shared" si="70"/>
        <v>0</v>
      </c>
      <c r="AR449">
        <f t="shared" si="71"/>
        <v>0</v>
      </c>
      <c r="AS449">
        <f t="shared" si="72"/>
        <v>0</v>
      </c>
      <c r="AT449">
        <f t="shared" si="73"/>
        <v>0</v>
      </c>
      <c r="AU449">
        <f t="shared" si="74"/>
        <v>0</v>
      </c>
      <c r="AV449">
        <f t="shared" si="75"/>
        <v>0</v>
      </c>
      <c r="AW449">
        <f t="shared" si="76"/>
        <v>0</v>
      </c>
      <c r="AX449">
        <f t="shared" si="77"/>
        <v>0</v>
      </c>
      <c r="AY449">
        <f t="shared" si="78"/>
        <v>0</v>
      </c>
    </row>
    <row r="450" spans="38:51" x14ac:dyDescent="0.35">
      <c r="AL450" s="19" t="s">
        <v>79</v>
      </c>
      <c r="AM450">
        <f t="shared" si="66"/>
        <v>0</v>
      </c>
      <c r="AN450">
        <f t="shared" si="67"/>
        <v>0</v>
      </c>
      <c r="AO450">
        <f t="shared" si="68"/>
        <v>0</v>
      </c>
      <c r="AP450">
        <f t="shared" si="69"/>
        <v>0</v>
      </c>
      <c r="AQ450">
        <f t="shared" si="70"/>
        <v>0</v>
      </c>
      <c r="AR450">
        <f t="shared" si="71"/>
        <v>0</v>
      </c>
      <c r="AS450">
        <f t="shared" si="72"/>
        <v>0</v>
      </c>
      <c r="AT450">
        <f t="shared" si="73"/>
        <v>0</v>
      </c>
      <c r="AU450">
        <f t="shared" si="74"/>
        <v>0</v>
      </c>
      <c r="AV450">
        <f t="shared" si="75"/>
        <v>0</v>
      </c>
      <c r="AW450">
        <f t="shared" si="76"/>
        <v>0</v>
      </c>
      <c r="AX450">
        <f t="shared" si="77"/>
        <v>0</v>
      </c>
      <c r="AY450">
        <f t="shared" si="78"/>
        <v>0</v>
      </c>
    </row>
    <row r="451" spans="38:51" x14ac:dyDescent="0.35">
      <c r="AL451" s="19" t="s">
        <v>80</v>
      </c>
      <c r="AM451">
        <f t="shared" si="66"/>
        <v>0</v>
      </c>
      <c r="AN451">
        <f t="shared" si="67"/>
        <v>1</v>
      </c>
      <c r="AO451">
        <f t="shared" si="68"/>
        <v>0</v>
      </c>
      <c r="AP451">
        <f t="shared" si="69"/>
        <v>0</v>
      </c>
      <c r="AQ451">
        <f t="shared" si="70"/>
        <v>0</v>
      </c>
      <c r="AR451">
        <f t="shared" si="71"/>
        <v>0</v>
      </c>
      <c r="AS451">
        <f t="shared" si="72"/>
        <v>0</v>
      </c>
      <c r="AT451">
        <f t="shared" si="73"/>
        <v>0</v>
      </c>
      <c r="AU451">
        <f t="shared" si="74"/>
        <v>0</v>
      </c>
      <c r="AV451">
        <f t="shared" si="75"/>
        <v>1</v>
      </c>
      <c r="AW451">
        <f t="shared" si="76"/>
        <v>0</v>
      </c>
      <c r="AX451">
        <f t="shared" si="77"/>
        <v>0</v>
      </c>
      <c r="AY451">
        <f t="shared" si="78"/>
        <v>0</v>
      </c>
    </row>
    <row r="452" spans="38:51" x14ac:dyDescent="0.35">
      <c r="AL452" s="19" t="s">
        <v>81</v>
      </c>
      <c r="AM452">
        <f t="shared" si="66"/>
        <v>0</v>
      </c>
      <c r="AN452">
        <f t="shared" si="67"/>
        <v>0</v>
      </c>
      <c r="AO452">
        <f t="shared" si="68"/>
        <v>0</v>
      </c>
      <c r="AP452">
        <f t="shared" si="69"/>
        <v>0</v>
      </c>
      <c r="AQ452">
        <f t="shared" si="70"/>
        <v>0</v>
      </c>
      <c r="AR452">
        <f t="shared" si="71"/>
        <v>0</v>
      </c>
      <c r="AS452">
        <f t="shared" si="72"/>
        <v>0</v>
      </c>
      <c r="AT452">
        <f t="shared" si="73"/>
        <v>0</v>
      </c>
      <c r="AU452">
        <f t="shared" si="74"/>
        <v>0</v>
      </c>
      <c r="AV452">
        <f t="shared" si="75"/>
        <v>0</v>
      </c>
      <c r="AW452">
        <f t="shared" si="76"/>
        <v>0</v>
      </c>
      <c r="AX452">
        <f t="shared" si="77"/>
        <v>0</v>
      </c>
      <c r="AY452">
        <f t="shared" si="78"/>
        <v>0</v>
      </c>
    </row>
    <row r="453" spans="38:51" x14ac:dyDescent="0.35">
      <c r="AL453" s="19" t="s">
        <v>82</v>
      </c>
      <c r="AM453">
        <f t="shared" si="66"/>
        <v>0</v>
      </c>
      <c r="AN453">
        <f t="shared" si="67"/>
        <v>0</v>
      </c>
      <c r="AO453">
        <f t="shared" si="68"/>
        <v>0</v>
      </c>
      <c r="AP453">
        <f t="shared" si="69"/>
        <v>0</v>
      </c>
      <c r="AQ453">
        <f t="shared" si="70"/>
        <v>0</v>
      </c>
      <c r="AR453">
        <f t="shared" si="71"/>
        <v>0</v>
      </c>
      <c r="AS453">
        <f t="shared" si="72"/>
        <v>0</v>
      </c>
      <c r="AT453">
        <f t="shared" si="73"/>
        <v>0</v>
      </c>
      <c r="AU453">
        <f t="shared" si="74"/>
        <v>0</v>
      </c>
      <c r="AV453">
        <f t="shared" si="75"/>
        <v>0</v>
      </c>
      <c r="AW453">
        <f t="shared" si="76"/>
        <v>0</v>
      </c>
      <c r="AX453">
        <f t="shared" si="77"/>
        <v>0</v>
      </c>
      <c r="AY453">
        <f t="shared" si="78"/>
        <v>0</v>
      </c>
    </row>
    <row r="454" spans="38:51" x14ac:dyDescent="0.35">
      <c r="AL454" s="19" t="s">
        <v>83</v>
      </c>
      <c r="AM454">
        <f t="shared" si="66"/>
        <v>0</v>
      </c>
      <c r="AN454">
        <f t="shared" si="67"/>
        <v>0</v>
      </c>
      <c r="AO454">
        <f t="shared" si="68"/>
        <v>0</v>
      </c>
      <c r="AP454">
        <f t="shared" si="69"/>
        <v>0</v>
      </c>
      <c r="AQ454">
        <f t="shared" si="70"/>
        <v>0</v>
      </c>
      <c r="AR454">
        <f t="shared" si="71"/>
        <v>0</v>
      </c>
      <c r="AS454">
        <f t="shared" si="72"/>
        <v>0</v>
      </c>
      <c r="AT454">
        <f t="shared" si="73"/>
        <v>0</v>
      </c>
      <c r="AU454">
        <f t="shared" si="74"/>
        <v>0</v>
      </c>
      <c r="AV454">
        <f t="shared" si="75"/>
        <v>0</v>
      </c>
      <c r="AW454">
        <f t="shared" si="76"/>
        <v>0</v>
      </c>
      <c r="AX454">
        <f t="shared" si="77"/>
        <v>0</v>
      </c>
      <c r="AY454">
        <f t="shared" si="78"/>
        <v>0</v>
      </c>
    </row>
    <row r="455" spans="38:51" x14ac:dyDescent="0.35">
      <c r="AL455" s="19" t="s">
        <v>84</v>
      </c>
      <c r="AM455">
        <f t="shared" si="66"/>
        <v>0</v>
      </c>
      <c r="AN455">
        <f t="shared" si="67"/>
        <v>0</v>
      </c>
      <c r="AO455">
        <f t="shared" si="68"/>
        <v>0</v>
      </c>
      <c r="AP455">
        <f t="shared" si="69"/>
        <v>0</v>
      </c>
      <c r="AQ455">
        <f t="shared" si="70"/>
        <v>0</v>
      </c>
      <c r="AR455">
        <f t="shared" si="71"/>
        <v>0</v>
      </c>
      <c r="AS455">
        <f t="shared" si="72"/>
        <v>0</v>
      </c>
      <c r="AT455">
        <f t="shared" si="73"/>
        <v>0</v>
      </c>
      <c r="AU455">
        <f t="shared" si="74"/>
        <v>0</v>
      </c>
      <c r="AV455">
        <f t="shared" si="75"/>
        <v>0</v>
      </c>
      <c r="AW455">
        <f t="shared" si="76"/>
        <v>0</v>
      </c>
      <c r="AX455">
        <f t="shared" si="77"/>
        <v>0</v>
      </c>
      <c r="AY455">
        <f t="shared" si="78"/>
        <v>0</v>
      </c>
    </row>
    <row r="456" spans="38:51" x14ac:dyDescent="0.35">
      <c r="AL456" s="19" t="s">
        <v>85</v>
      </c>
      <c r="AM456">
        <f t="shared" si="66"/>
        <v>0</v>
      </c>
      <c r="AN456">
        <f t="shared" si="67"/>
        <v>0</v>
      </c>
      <c r="AO456">
        <f t="shared" si="68"/>
        <v>0</v>
      </c>
      <c r="AP456">
        <f t="shared" si="69"/>
        <v>0</v>
      </c>
      <c r="AQ456">
        <f t="shared" si="70"/>
        <v>0</v>
      </c>
      <c r="AR456">
        <f t="shared" si="71"/>
        <v>0</v>
      </c>
      <c r="AS456">
        <f t="shared" si="72"/>
        <v>0</v>
      </c>
      <c r="AT456">
        <f t="shared" si="73"/>
        <v>0</v>
      </c>
      <c r="AU456">
        <f t="shared" si="74"/>
        <v>0</v>
      </c>
      <c r="AV456">
        <f t="shared" si="75"/>
        <v>0</v>
      </c>
      <c r="AW456">
        <f t="shared" si="76"/>
        <v>0</v>
      </c>
      <c r="AX456">
        <f t="shared" si="77"/>
        <v>0</v>
      </c>
      <c r="AY456">
        <f t="shared" si="78"/>
        <v>0</v>
      </c>
    </row>
    <row r="457" spans="38:51" x14ac:dyDescent="0.35">
      <c r="AL457" s="19" t="s">
        <v>86</v>
      </c>
      <c r="AM457">
        <f t="shared" si="66"/>
        <v>0</v>
      </c>
      <c r="AN457">
        <f t="shared" si="67"/>
        <v>0</v>
      </c>
      <c r="AO457">
        <f t="shared" si="68"/>
        <v>0</v>
      </c>
      <c r="AP457">
        <f t="shared" si="69"/>
        <v>0</v>
      </c>
      <c r="AQ457">
        <f t="shared" si="70"/>
        <v>0</v>
      </c>
      <c r="AR457">
        <f t="shared" si="71"/>
        <v>0</v>
      </c>
      <c r="AS457">
        <f t="shared" si="72"/>
        <v>0</v>
      </c>
      <c r="AT457">
        <f t="shared" si="73"/>
        <v>0</v>
      </c>
      <c r="AU457">
        <f t="shared" si="74"/>
        <v>0</v>
      </c>
      <c r="AV457">
        <f t="shared" si="75"/>
        <v>0</v>
      </c>
      <c r="AW457">
        <f t="shared" si="76"/>
        <v>0</v>
      </c>
      <c r="AX457">
        <f t="shared" si="77"/>
        <v>0</v>
      </c>
      <c r="AY457">
        <f t="shared" si="78"/>
        <v>0</v>
      </c>
    </row>
    <row r="458" spans="38:51" x14ac:dyDescent="0.35">
      <c r="AL458" s="19" t="s">
        <v>87</v>
      </c>
      <c r="AM458">
        <f t="shared" si="66"/>
        <v>0</v>
      </c>
      <c r="AN458">
        <f t="shared" si="67"/>
        <v>0</v>
      </c>
      <c r="AO458">
        <f t="shared" si="68"/>
        <v>0</v>
      </c>
      <c r="AP458">
        <f t="shared" si="69"/>
        <v>0</v>
      </c>
      <c r="AQ458">
        <f t="shared" si="70"/>
        <v>0</v>
      </c>
      <c r="AR458">
        <f t="shared" si="71"/>
        <v>0</v>
      </c>
      <c r="AS458">
        <f t="shared" si="72"/>
        <v>0</v>
      </c>
      <c r="AT458">
        <f t="shared" si="73"/>
        <v>0</v>
      </c>
      <c r="AU458">
        <f t="shared" si="74"/>
        <v>0</v>
      </c>
      <c r="AV458">
        <f t="shared" si="75"/>
        <v>0</v>
      </c>
      <c r="AW458">
        <f t="shared" si="76"/>
        <v>0</v>
      </c>
      <c r="AX458">
        <f t="shared" si="77"/>
        <v>0</v>
      </c>
      <c r="AY458">
        <f t="shared" si="78"/>
        <v>0</v>
      </c>
    </row>
    <row r="459" spans="38:51" x14ac:dyDescent="0.35">
      <c r="AL459" s="19" t="s">
        <v>254</v>
      </c>
      <c r="AM459">
        <f t="shared" si="66"/>
        <v>0</v>
      </c>
      <c r="AN459">
        <f t="shared" si="67"/>
        <v>0</v>
      </c>
      <c r="AO459">
        <f t="shared" si="68"/>
        <v>0</v>
      </c>
      <c r="AP459">
        <f t="shared" si="69"/>
        <v>0</v>
      </c>
      <c r="AQ459">
        <f t="shared" si="70"/>
        <v>0</v>
      </c>
      <c r="AR459">
        <f t="shared" si="71"/>
        <v>0</v>
      </c>
      <c r="AS459">
        <f t="shared" si="72"/>
        <v>0</v>
      </c>
      <c r="AT459">
        <f t="shared" si="73"/>
        <v>0</v>
      </c>
      <c r="AU459">
        <f t="shared" si="74"/>
        <v>0</v>
      </c>
      <c r="AV459">
        <f t="shared" si="75"/>
        <v>0</v>
      </c>
      <c r="AW459">
        <f t="shared" si="76"/>
        <v>0</v>
      </c>
      <c r="AX459">
        <f t="shared" si="77"/>
        <v>0</v>
      </c>
      <c r="AY459">
        <f t="shared" si="78"/>
        <v>0</v>
      </c>
    </row>
    <row r="460" spans="38:51" x14ac:dyDescent="0.35">
      <c r="AL460" s="19" t="s">
        <v>88</v>
      </c>
      <c r="AM460">
        <f t="shared" si="66"/>
        <v>0</v>
      </c>
      <c r="AN460">
        <f t="shared" si="67"/>
        <v>0</v>
      </c>
      <c r="AO460">
        <f t="shared" si="68"/>
        <v>0</v>
      </c>
      <c r="AP460">
        <f t="shared" si="69"/>
        <v>0</v>
      </c>
      <c r="AQ460">
        <f t="shared" si="70"/>
        <v>0</v>
      </c>
      <c r="AR460">
        <f t="shared" si="71"/>
        <v>0</v>
      </c>
      <c r="AS460">
        <f t="shared" si="72"/>
        <v>0</v>
      </c>
      <c r="AT460">
        <f t="shared" si="73"/>
        <v>0</v>
      </c>
      <c r="AU460">
        <f t="shared" si="74"/>
        <v>0</v>
      </c>
      <c r="AV460">
        <f t="shared" si="75"/>
        <v>0</v>
      </c>
      <c r="AW460">
        <f t="shared" si="76"/>
        <v>0</v>
      </c>
      <c r="AX460">
        <f t="shared" si="77"/>
        <v>0</v>
      </c>
      <c r="AY460">
        <f t="shared" si="78"/>
        <v>0</v>
      </c>
    </row>
    <row r="461" spans="38:51" x14ac:dyDescent="0.35">
      <c r="AL461" s="19" t="s">
        <v>89</v>
      </c>
      <c r="AM461">
        <f t="shared" si="66"/>
        <v>0</v>
      </c>
      <c r="AN461">
        <f t="shared" si="67"/>
        <v>0</v>
      </c>
      <c r="AO461">
        <f t="shared" si="68"/>
        <v>0</v>
      </c>
      <c r="AP461">
        <f t="shared" si="69"/>
        <v>0</v>
      </c>
      <c r="AQ461">
        <f t="shared" si="70"/>
        <v>0</v>
      </c>
      <c r="AR461">
        <f t="shared" si="71"/>
        <v>0</v>
      </c>
      <c r="AS461">
        <f t="shared" si="72"/>
        <v>0</v>
      </c>
      <c r="AT461">
        <f t="shared" si="73"/>
        <v>0</v>
      </c>
      <c r="AU461">
        <f t="shared" si="74"/>
        <v>0</v>
      </c>
      <c r="AV461">
        <f t="shared" si="75"/>
        <v>0</v>
      </c>
      <c r="AW461">
        <f t="shared" si="76"/>
        <v>0</v>
      </c>
      <c r="AX461">
        <f t="shared" si="77"/>
        <v>0</v>
      </c>
      <c r="AY461">
        <f t="shared" si="78"/>
        <v>0</v>
      </c>
    </row>
    <row r="462" spans="38:51" x14ac:dyDescent="0.35">
      <c r="AL462" s="19" t="s">
        <v>90</v>
      </c>
      <c r="AM462">
        <f t="shared" si="66"/>
        <v>0</v>
      </c>
      <c r="AN462">
        <f t="shared" si="67"/>
        <v>0</v>
      </c>
      <c r="AO462">
        <f t="shared" si="68"/>
        <v>0</v>
      </c>
      <c r="AP462">
        <f t="shared" si="69"/>
        <v>0</v>
      </c>
      <c r="AQ462">
        <f t="shared" si="70"/>
        <v>0</v>
      </c>
      <c r="AR462">
        <f t="shared" si="71"/>
        <v>0</v>
      </c>
      <c r="AS462">
        <f t="shared" si="72"/>
        <v>0</v>
      </c>
      <c r="AT462">
        <f t="shared" si="73"/>
        <v>0</v>
      </c>
      <c r="AU462">
        <f t="shared" si="74"/>
        <v>0</v>
      </c>
      <c r="AV462">
        <f t="shared" si="75"/>
        <v>0</v>
      </c>
      <c r="AW462">
        <f t="shared" si="76"/>
        <v>0</v>
      </c>
      <c r="AX462">
        <f t="shared" si="77"/>
        <v>0</v>
      </c>
      <c r="AY462">
        <f t="shared" si="78"/>
        <v>0</v>
      </c>
    </row>
    <row r="463" spans="38:51" x14ac:dyDescent="0.35">
      <c r="AL463" s="19" t="s">
        <v>91</v>
      </c>
      <c r="AM463">
        <f t="shared" si="66"/>
        <v>0</v>
      </c>
      <c r="AN463">
        <f t="shared" si="67"/>
        <v>0</v>
      </c>
      <c r="AO463">
        <f t="shared" si="68"/>
        <v>0</v>
      </c>
      <c r="AP463">
        <f t="shared" si="69"/>
        <v>0</v>
      </c>
      <c r="AQ463">
        <f t="shared" si="70"/>
        <v>0</v>
      </c>
      <c r="AR463">
        <f t="shared" si="71"/>
        <v>0</v>
      </c>
      <c r="AS463">
        <f t="shared" si="72"/>
        <v>0</v>
      </c>
      <c r="AT463">
        <f t="shared" si="73"/>
        <v>0</v>
      </c>
      <c r="AU463">
        <f t="shared" si="74"/>
        <v>0</v>
      </c>
      <c r="AV463">
        <f t="shared" si="75"/>
        <v>0</v>
      </c>
      <c r="AW463">
        <f t="shared" si="76"/>
        <v>0</v>
      </c>
      <c r="AX463">
        <f t="shared" si="77"/>
        <v>0</v>
      </c>
      <c r="AY463">
        <f t="shared" si="78"/>
        <v>0</v>
      </c>
    </row>
    <row r="464" spans="38:51" x14ac:dyDescent="0.35">
      <c r="AL464" s="19" t="s">
        <v>92</v>
      </c>
      <c r="AM464">
        <f t="shared" si="66"/>
        <v>6</v>
      </c>
      <c r="AN464">
        <f t="shared" si="67"/>
        <v>7</v>
      </c>
      <c r="AO464">
        <f t="shared" si="68"/>
        <v>2</v>
      </c>
      <c r="AP464">
        <f t="shared" si="69"/>
        <v>0</v>
      </c>
      <c r="AQ464">
        <f t="shared" si="70"/>
        <v>0</v>
      </c>
      <c r="AR464">
        <f t="shared" si="71"/>
        <v>4</v>
      </c>
      <c r="AS464">
        <f t="shared" si="72"/>
        <v>6</v>
      </c>
      <c r="AT464">
        <f t="shared" si="73"/>
        <v>2</v>
      </c>
      <c r="AU464">
        <f t="shared" si="74"/>
        <v>0</v>
      </c>
      <c r="AV464">
        <f t="shared" si="75"/>
        <v>2</v>
      </c>
      <c r="AW464">
        <f t="shared" si="76"/>
        <v>2</v>
      </c>
      <c r="AX464">
        <f t="shared" si="77"/>
        <v>1</v>
      </c>
      <c r="AY464">
        <f t="shared" si="78"/>
        <v>3</v>
      </c>
    </row>
    <row r="465" spans="38:51" x14ac:dyDescent="0.35">
      <c r="AL465" s="19" t="s">
        <v>93</v>
      </c>
      <c r="AM465">
        <f t="shared" si="66"/>
        <v>0</v>
      </c>
      <c r="AN465">
        <f t="shared" si="67"/>
        <v>0</v>
      </c>
      <c r="AO465">
        <f t="shared" si="68"/>
        <v>0</v>
      </c>
      <c r="AP465">
        <f t="shared" si="69"/>
        <v>0</v>
      </c>
      <c r="AQ465">
        <f t="shared" si="70"/>
        <v>0</v>
      </c>
      <c r="AR465">
        <f t="shared" si="71"/>
        <v>0</v>
      </c>
      <c r="AS465">
        <f t="shared" si="72"/>
        <v>0</v>
      </c>
      <c r="AT465">
        <f t="shared" si="73"/>
        <v>0</v>
      </c>
      <c r="AU465">
        <f t="shared" si="74"/>
        <v>0</v>
      </c>
      <c r="AV465">
        <f t="shared" si="75"/>
        <v>0</v>
      </c>
      <c r="AW465">
        <f t="shared" si="76"/>
        <v>0</v>
      </c>
      <c r="AX465">
        <f t="shared" si="77"/>
        <v>0</v>
      </c>
      <c r="AY465">
        <f t="shared" si="78"/>
        <v>0</v>
      </c>
    </row>
    <row r="466" spans="38:51" x14ac:dyDescent="0.35">
      <c r="AL466" s="19" t="s">
        <v>94</v>
      </c>
      <c r="AM466">
        <f t="shared" si="66"/>
        <v>0</v>
      </c>
      <c r="AN466">
        <f t="shared" si="67"/>
        <v>0</v>
      </c>
      <c r="AO466">
        <f t="shared" si="68"/>
        <v>0</v>
      </c>
      <c r="AP466">
        <f t="shared" si="69"/>
        <v>0</v>
      </c>
      <c r="AQ466">
        <f t="shared" si="70"/>
        <v>0</v>
      </c>
      <c r="AR466">
        <f t="shared" si="71"/>
        <v>0</v>
      </c>
      <c r="AS466">
        <f t="shared" si="72"/>
        <v>0</v>
      </c>
      <c r="AT466">
        <f t="shared" si="73"/>
        <v>0</v>
      </c>
      <c r="AU466">
        <f t="shared" si="74"/>
        <v>0</v>
      </c>
      <c r="AV466">
        <f t="shared" si="75"/>
        <v>0</v>
      </c>
      <c r="AW466">
        <f t="shared" si="76"/>
        <v>0</v>
      </c>
      <c r="AX466">
        <f t="shared" si="77"/>
        <v>0</v>
      </c>
      <c r="AY466">
        <f t="shared" si="78"/>
        <v>0</v>
      </c>
    </row>
    <row r="467" spans="38:51" x14ac:dyDescent="0.35">
      <c r="AL467" s="19" t="s">
        <v>95</v>
      </c>
      <c r="AM467">
        <f t="shared" si="66"/>
        <v>0</v>
      </c>
      <c r="AN467">
        <f t="shared" si="67"/>
        <v>0</v>
      </c>
      <c r="AO467">
        <f t="shared" si="68"/>
        <v>0</v>
      </c>
      <c r="AP467">
        <f t="shared" si="69"/>
        <v>0</v>
      </c>
      <c r="AQ467">
        <f t="shared" si="70"/>
        <v>0</v>
      </c>
      <c r="AR467">
        <f t="shared" si="71"/>
        <v>0</v>
      </c>
      <c r="AS467">
        <f t="shared" si="72"/>
        <v>0</v>
      </c>
      <c r="AT467">
        <f t="shared" si="73"/>
        <v>0</v>
      </c>
      <c r="AU467">
        <f t="shared" si="74"/>
        <v>0</v>
      </c>
      <c r="AV467">
        <f t="shared" si="75"/>
        <v>0</v>
      </c>
      <c r="AW467">
        <f t="shared" si="76"/>
        <v>0</v>
      </c>
      <c r="AX467">
        <f t="shared" si="77"/>
        <v>0</v>
      </c>
      <c r="AY467">
        <f t="shared" si="78"/>
        <v>0</v>
      </c>
    </row>
    <row r="468" spans="38:51" x14ac:dyDescent="0.35">
      <c r="AL468" s="19" t="s">
        <v>96</v>
      </c>
      <c r="AM468">
        <f t="shared" si="66"/>
        <v>0</v>
      </c>
      <c r="AN468">
        <f t="shared" si="67"/>
        <v>0</v>
      </c>
      <c r="AO468">
        <f t="shared" si="68"/>
        <v>0</v>
      </c>
      <c r="AP468">
        <f t="shared" si="69"/>
        <v>0</v>
      </c>
      <c r="AQ468">
        <f t="shared" si="70"/>
        <v>0</v>
      </c>
      <c r="AR468">
        <f t="shared" si="71"/>
        <v>0</v>
      </c>
      <c r="AS468">
        <f t="shared" si="72"/>
        <v>0</v>
      </c>
      <c r="AT468">
        <f t="shared" si="73"/>
        <v>0</v>
      </c>
      <c r="AU468">
        <f t="shared" si="74"/>
        <v>0</v>
      </c>
      <c r="AV468">
        <f t="shared" si="75"/>
        <v>0</v>
      </c>
      <c r="AW468">
        <f t="shared" si="76"/>
        <v>0</v>
      </c>
      <c r="AX468">
        <f t="shared" si="77"/>
        <v>0</v>
      </c>
      <c r="AY468">
        <f t="shared" si="78"/>
        <v>0</v>
      </c>
    </row>
    <row r="469" spans="38:51" x14ac:dyDescent="0.35">
      <c r="AL469" s="19" t="s">
        <v>97</v>
      </c>
      <c r="AM469">
        <f t="shared" si="66"/>
        <v>0</v>
      </c>
      <c r="AN469">
        <f t="shared" si="67"/>
        <v>0</v>
      </c>
      <c r="AO469">
        <f t="shared" si="68"/>
        <v>0</v>
      </c>
      <c r="AP469">
        <f t="shared" si="69"/>
        <v>0</v>
      </c>
      <c r="AQ469">
        <f t="shared" si="70"/>
        <v>0</v>
      </c>
      <c r="AR469">
        <f t="shared" si="71"/>
        <v>0</v>
      </c>
      <c r="AS469">
        <f t="shared" si="72"/>
        <v>0</v>
      </c>
      <c r="AT469">
        <f t="shared" si="73"/>
        <v>0</v>
      </c>
      <c r="AU469">
        <f t="shared" si="74"/>
        <v>0</v>
      </c>
      <c r="AV469">
        <f t="shared" si="75"/>
        <v>0</v>
      </c>
      <c r="AW469">
        <f t="shared" si="76"/>
        <v>0</v>
      </c>
      <c r="AX469">
        <f t="shared" si="77"/>
        <v>0</v>
      </c>
      <c r="AY469">
        <f t="shared" si="78"/>
        <v>0</v>
      </c>
    </row>
    <row r="470" spans="38:51" x14ac:dyDescent="0.35">
      <c r="AL470" s="19" t="s">
        <v>98</v>
      </c>
      <c r="AM470">
        <f t="shared" si="66"/>
        <v>0</v>
      </c>
      <c r="AN470">
        <f t="shared" si="67"/>
        <v>0</v>
      </c>
      <c r="AO470">
        <f t="shared" si="68"/>
        <v>0</v>
      </c>
      <c r="AP470">
        <f t="shared" si="69"/>
        <v>0</v>
      </c>
      <c r="AQ470">
        <f t="shared" si="70"/>
        <v>0</v>
      </c>
      <c r="AR470">
        <f t="shared" si="71"/>
        <v>0</v>
      </c>
      <c r="AS470">
        <f t="shared" si="72"/>
        <v>0</v>
      </c>
      <c r="AT470">
        <f t="shared" si="73"/>
        <v>0</v>
      </c>
      <c r="AU470">
        <f t="shared" si="74"/>
        <v>0</v>
      </c>
      <c r="AV470">
        <f t="shared" si="75"/>
        <v>0</v>
      </c>
      <c r="AW470">
        <f t="shared" si="76"/>
        <v>0</v>
      </c>
      <c r="AX470">
        <f t="shared" si="77"/>
        <v>0</v>
      </c>
      <c r="AY470">
        <f t="shared" si="78"/>
        <v>0</v>
      </c>
    </row>
    <row r="471" spans="38:51" x14ac:dyDescent="0.35">
      <c r="AL471" s="19" t="s">
        <v>255</v>
      </c>
      <c r="AM471">
        <f t="shared" si="66"/>
        <v>0</v>
      </c>
      <c r="AN471">
        <f t="shared" si="67"/>
        <v>0</v>
      </c>
      <c r="AO471">
        <f t="shared" si="68"/>
        <v>0</v>
      </c>
      <c r="AP471">
        <f t="shared" si="69"/>
        <v>0</v>
      </c>
      <c r="AQ471">
        <f t="shared" si="70"/>
        <v>0</v>
      </c>
      <c r="AR471">
        <f t="shared" si="71"/>
        <v>0</v>
      </c>
      <c r="AS471">
        <f t="shared" si="72"/>
        <v>0</v>
      </c>
      <c r="AT471">
        <f t="shared" si="73"/>
        <v>0</v>
      </c>
      <c r="AU471">
        <f t="shared" si="74"/>
        <v>0</v>
      </c>
      <c r="AV471">
        <f t="shared" si="75"/>
        <v>0</v>
      </c>
      <c r="AW471">
        <f t="shared" si="76"/>
        <v>0</v>
      </c>
      <c r="AX471">
        <f t="shared" si="77"/>
        <v>0</v>
      </c>
      <c r="AY471">
        <f t="shared" si="78"/>
        <v>0</v>
      </c>
    </row>
    <row r="472" spans="38:51" x14ac:dyDescent="0.35">
      <c r="AL472" s="19" t="s">
        <v>99</v>
      </c>
      <c r="AM472">
        <f t="shared" si="66"/>
        <v>0</v>
      </c>
      <c r="AN472">
        <f t="shared" si="67"/>
        <v>0</v>
      </c>
      <c r="AO472">
        <f t="shared" si="68"/>
        <v>0</v>
      </c>
      <c r="AP472">
        <f t="shared" si="69"/>
        <v>0</v>
      </c>
      <c r="AQ472">
        <f t="shared" si="70"/>
        <v>0</v>
      </c>
      <c r="AR472">
        <f t="shared" si="71"/>
        <v>0</v>
      </c>
      <c r="AS472">
        <f t="shared" si="72"/>
        <v>0</v>
      </c>
      <c r="AT472">
        <f t="shared" si="73"/>
        <v>0</v>
      </c>
      <c r="AU472">
        <f t="shared" si="74"/>
        <v>0</v>
      </c>
      <c r="AV472">
        <f t="shared" si="75"/>
        <v>0</v>
      </c>
      <c r="AW472">
        <f t="shared" si="76"/>
        <v>0</v>
      </c>
      <c r="AX472">
        <f t="shared" si="77"/>
        <v>0</v>
      </c>
      <c r="AY472">
        <f t="shared" si="78"/>
        <v>0</v>
      </c>
    </row>
    <row r="473" spans="38:51" x14ac:dyDescent="0.35">
      <c r="AL473" s="19" t="s">
        <v>100</v>
      </c>
      <c r="AM473">
        <f t="shared" si="66"/>
        <v>0</v>
      </c>
      <c r="AN473">
        <f t="shared" si="67"/>
        <v>0</v>
      </c>
      <c r="AO473">
        <f t="shared" si="68"/>
        <v>0</v>
      </c>
      <c r="AP473">
        <f t="shared" si="69"/>
        <v>0</v>
      </c>
      <c r="AQ473">
        <f t="shared" si="70"/>
        <v>0</v>
      </c>
      <c r="AR473">
        <f t="shared" si="71"/>
        <v>0</v>
      </c>
      <c r="AS473">
        <f t="shared" si="72"/>
        <v>0</v>
      </c>
      <c r="AT473">
        <f t="shared" si="73"/>
        <v>0</v>
      </c>
      <c r="AU473">
        <f t="shared" si="74"/>
        <v>0</v>
      </c>
      <c r="AV473">
        <f t="shared" si="75"/>
        <v>0</v>
      </c>
      <c r="AW473">
        <f t="shared" si="76"/>
        <v>0</v>
      </c>
      <c r="AX473">
        <f t="shared" si="77"/>
        <v>0</v>
      </c>
      <c r="AY473">
        <f t="shared" si="78"/>
        <v>0</v>
      </c>
    </row>
    <row r="474" spans="38:51" x14ac:dyDescent="0.35">
      <c r="AL474" s="19" t="s">
        <v>101</v>
      </c>
      <c r="AM474">
        <f t="shared" si="66"/>
        <v>0</v>
      </c>
      <c r="AN474">
        <f t="shared" si="67"/>
        <v>0</v>
      </c>
      <c r="AO474">
        <f t="shared" si="68"/>
        <v>0</v>
      </c>
      <c r="AP474">
        <f t="shared" si="69"/>
        <v>0</v>
      </c>
      <c r="AQ474">
        <f t="shared" si="70"/>
        <v>0</v>
      </c>
      <c r="AR474">
        <f t="shared" si="71"/>
        <v>0</v>
      </c>
      <c r="AS474">
        <f t="shared" si="72"/>
        <v>0</v>
      </c>
      <c r="AT474">
        <f t="shared" si="73"/>
        <v>0</v>
      </c>
      <c r="AU474">
        <f t="shared" si="74"/>
        <v>0</v>
      </c>
      <c r="AV474">
        <f t="shared" si="75"/>
        <v>0</v>
      </c>
      <c r="AW474">
        <f t="shared" si="76"/>
        <v>0</v>
      </c>
      <c r="AX474">
        <f t="shared" si="77"/>
        <v>0</v>
      </c>
      <c r="AY474">
        <f t="shared" si="78"/>
        <v>0</v>
      </c>
    </row>
    <row r="475" spans="38:51" x14ac:dyDescent="0.35">
      <c r="AL475" s="19" t="s">
        <v>102</v>
      </c>
      <c r="AM475">
        <f t="shared" si="66"/>
        <v>0</v>
      </c>
      <c r="AN475">
        <f t="shared" si="67"/>
        <v>0</v>
      </c>
      <c r="AO475">
        <f t="shared" si="68"/>
        <v>0</v>
      </c>
      <c r="AP475">
        <f t="shared" si="69"/>
        <v>0</v>
      </c>
      <c r="AQ475">
        <f t="shared" si="70"/>
        <v>0</v>
      </c>
      <c r="AR475">
        <f t="shared" si="71"/>
        <v>0</v>
      </c>
      <c r="AS475">
        <f t="shared" si="72"/>
        <v>0</v>
      </c>
      <c r="AT475">
        <f t="shared" si="73"/>
        <v>0</v>
      </c>
      <c r="AU475">
        <f t="shared" si="74"/>
        <v>0</v>
      </c>
      <c r="AV475">
        <f t="shared" si="75"/>
        <v>0</v>
      </c>
      <c r="AW475">
        <f t="shared" si="76"/>
        <v>0</v>
      </c>
      <c r="AX475">
        <f t="shared" si="77"/>
        <v>0</v>
      </c>
      <c r="AY475">
        <f t="shared" si="78"/>
        <v>0</v>
      </c>
    </row>
    <row r="476" spans="38:51" x14ac:dyDescent="0.35">
      <c r="AL476" s="19" t="s">
        <v>103</v>
      </c>
      <c r="AM476">
        <f t="shared" si="66"/>
        <v>0</v>
      </c>
      <c r="AN476">
        <f t="shared" si="67"/>
        <v>0</v>
      </c>
      <c r="AO476">
        <f t="shared" si="68"/>
        <v>0</v>
      </c>
      <c r="AP476">
        <f t="shared" si="69"/>
        <v>0</v>
      </c>
      <c r="AQ476">
        <f t="shared" si="70"/>
        <v>0</v>
      </c>
      <c r="AR476">
        <f t="shared" si="71"/>
        <v>0</v>
      </c>
      <c r="AS476">
        <f t="shared" si="72"/>
        <v>0</v>
      </c>
      <c r="AT476">
        <f t="shared" si="73"/>
        <v>0</v>
      </c>
      <c r="AU476">
        <f t="shared" si="74"/>
        <v>0</v>
      </c>
      <c r="AV476">
        <f t="shared" si="75"/>
        <v>0</v>
      </c>
      <c r="AW476">
        <f t="shared" si="76"/>
        <v>0</v>
      </c>
      <c r="AX476">
        <f t="shared" si="77"/>
        <v>0</v>
      </c>
      <c r="AY476">
        <f t="shared" si="78"/>
        <v>0</v>
      </c>
    </row>
    <row r="477" spans="38:51" x14ac:dyDescent="0.35">
      <c r="AL477" s="19" t="s">
        <v>104</v>
      </c>
      <c r="AM477">
        <f t="shared" si="66"/>
        <v>0</v>
      </c>
      <c r="AN477">
        <f t="shared" si="67"/>
        <v>0</v>
      </c>
      <c r="AO477">
        <f t="shared" si="68"/>
        <v>0</v>
      </c>
      <c r="AP477">
        <f t="shared" si="69"/>
        <v>0</v>
      </c>
      <c r="AQ477">
        <f t="shared" si="70"/>
        <v>0</v>
      </c>
      <c r="AR477">
        <f t="shared" si="71"/>
        <v>0</v>
      </c>
      <c r="AS477">
        <f t="shared" si="72"/>
        <v>0</v>
      </c>
      <c r="AT477">
        <f t="shared" si="73"/>
        <v>0</v>
      </c>
      <c r="AU477">
        <f t="shared" si="74"/>
        <v>0</v>
      </c>
      <c r="AV477">
        <f t="shared" si="75"/>
        <v>0</v>
      </c>
      <c r="AW477">
        <f t="shared" si="76"/>
        <v>0</v>
      </c>
      <c r="AX477">
        <f t="shared" si="77"/>
        <v>0</v>
      </c>
      <c r="AY477">
        <f t="shared" si="78"/>
        <v>0</v>
      </c>
    </row>
    <row r="478" spans="38:51" x14ac:dyDescent="0.35">
      <c r="AL478" s="19" t="s">
        <v>105</v>
      </c>
      <c r="AM478">
        <f t="shared" si="66"/>
        <v>0</v>
      </c>
      <c r="AN478">
        <f t="shared" si="67"/>
        <v>0</v>
      </c>
      <c r="AO478">
        <f t="shared" si="68"/>
        <v>0</v>
      </c>
      <c r="AP478">
        <f t="shared" si="69"/>
        <v>0</v>
      </c>
      <c r="AQ478">
        <f t="shared" si="70"/>
        <v>0</v>
      </c>
      <c r="AR478">
        <f t="shared" si="71"/>
        <v>0</v>
      </c>
      <c r="AS478">
        <f t="shared" si="72"/>
        <v>0</v>
      </c>
      <c r="AT478">
        <f t="shared" si="73"/>
        <v>0</v>
      </c>
      <c r="AU478">
        <f t="shared" si="74"/>
        <v>0</v>
      </c>
      <c r="AV478">
        <f t="shared" si="75"/>
        <v>0</v>
      </c>
      <c r="AW478">
        <f t="shared" si="76"/>
        <v>0</v>
      </c>
      <c r="AX478">
        <f t="shared" si="77"/>
        <v>0</v>
      </c>
      <c r="AY478">
        <f t="shared" si="78"/>
        <v>0</v>
      </c>
    </row>
    <row r="479" spans="38:51" x14ac:dyDescent="0.35">
      <c r="AL479" s="19" t="s">
        <v>106</v>
      </c>
      <c r="AM479">
        <f t="shared" si="66"/>
        <v>0</v>
      </c>
      <c r="AN479">
        <f t="shared" si="67"/>
        <v>0</v>
      </c>
      <c r="AO479">
        <f t="shared" si="68"/>
        <v>0</v>
      </c>
      <c r="AP479">
        <f t="shared" si="69"/>
        <v>0</v>
      </c>
      <c r="AQ479">
        <f t="shared" si="70"/>
        <v>0</v>
      </c>
      <c r="AR479">
        <f t="shared" si="71"/>
        <v>0</v>
      </c>
      <c r="AS479">
        <f t="shared" si="72"/>
        <v>0</v>
      </c>
      <c r="AT479">
        <f t="shared" si="73"/>
        <v>0</v>
      </c>
      <c r="AU479">
        <f t="shared" si="74"/>
        <v>0</v>
      </c>
      <c r="AV479">
        <f t="shared" si="75"/>
        <v>2</v>
      </c>
      <c r="AW479">
        <f t="shared" si="76"/>
        <v>0</v>
      </c>
      <c r="AX479">
        <f t="shared" si="77"/>
        <v>1</v>
      </c>
      <c r="AY479">
        <f t="shared" si="78"/>
        <v>0</v>
      </c>
    </row>
    <row r="480" spans="38:51" x14ac:dyDescent="0.35">
      <c r="AL480" s="19" t="s">
        <v>107</v>
      </c>
      <c r="AM480">
        <f t="shared" si="66"/>
        <v>0</v>
      </c>
      <c r="AN480">
        <f t="shared" si="67"/>
        <v>0</v>
      </c>
      <c r="AO480">
        <f t="shared" si="68"/>
        <v>0</v>
      </c>
      <c r="AP480">
        <f t="shared" si="69"/>
        <v>0</v>
      </c>
      <c r="AQ480">
        <f t="shared" si="70"/>
        <v>0</v>
      </c>
      <c r="AR480">
        <f t="shared" si="71"/>
        <v>0</v>
      </c>
      <c r="AS480">
        <f t="shared" si="72"/>
        <v>0</v>
      </c>
      <c r="AT480">
        <f t="shared" si="73"/>
        <v>0</v>
      </c>
      <c r="AU480">
        <f t="shared" si="74"/>
        <v>0</v>
      </c>
      <c r="AV480">
        <f t="shared" si="75"/>
        <v>0</v>
      </c>
      <c r="AW480">
        <f t="shared" si="76"/>
        <v>0</v>
      </c>
      <c r="AX480">
        <f t="shared" si="77"/>
        <v>0</v>
      </c>
      <c r="AY480">
        <f t="shared" si="78"/>
        <v>0</v>
      </c>
    </row>
    <row r="481" spans="38:51" x14ac:dyDescent="0.35">
      <c r="AL481" s="19" t="s">
        <v>256</v>
      </c>
      <c r="AM481">
        <f t="shared" si="66"/>
        <v>0</v>
      </c>
      <c r="AN481">
        <f t="shared" si="67"/>
        <v>0</v>
      </c>
      <c r="AO481">
        <f t="shared" si="68"/>
        <v>0</v>
      </c>
      <c r="AP481">
        <f t="shared" si="69"/>
        <v>0</v>
      </c>
      <c r="AQ481">
        <f t="shared" si="70"/>
        <v>0</v>
      </c>
      <c r="AR481">
        <f t="shared" si="71"/>
        <v>0</v>
      </c>
      <c r="AS481">
        <f t="shared" si="72"/>
        <v>0</v>
      </c>
      <c r="AT481">
        <f t="shared" si="73"/>
        <v>0</v>
      </c>
      <c r="AU481">
        <f t="shared" si="74"/>
        <v>0</v>
      </c>
      <c r="AV481">
        <f t="shared" si="75"/>
        <v>0</v>
      </c>
      <c r="AW481">
        <f t="shared" si="76"/>
        <v>0</v>
      </c>
      <c r="AX481">
        <f t="shared" si="77"/>
        <v>0</v>
      </c>
      <c r="AY481">
        <f t="shared" si="78"/>
        <v>0</v>
      </c>
    </row>
    <row r="482" spans="38:51" x14ac:dyDescent="0.35">
      <c r="AL482" s="19" t="s">
        <v>215</v>
      </c>
      <c r="AM482">
        <f t="shared" si="66"/>
        <v>0</v>
      </c>
      <c r="AN482">
        <f t="shared" si="67"/>
        <v>0</v>
      </c>
      <c r="AO482">
        <f t="shared" si="68"/>
        <v>0</v>
      </c>
      <c r="AP482">
        <f t="shared" si="69"/>
        <v>0</v>
      </c>
      <c r="AQ482">
        <f t="shared" si="70"/>
        <v>0</v>
      </c>
      <c r="AR482">
        <f t="shared" si="71"/>
        <v>0</v>
      </c>
      <c r="AS482">
        <f t="shared" si="72"/>
        <v>0</v>
      </c>
      <c r="AT482">
        <f t="shared" si="73"/>
        <v>0</v>
      </c>
      <c r="AU482">
        <f t="shared" si="74"/>
        <v>0</v>
      </c>
      <c r="AV482">
        <f t="shared" si="75"/>
        <v>0</v>
      </c>
      <c r="AW482">
        <f t="shared" si="76"/>
        <v>0</v>
      </c>
      <c r="AX482">
        <f t="shared" si="77"/>
        <v>0</v>
      </c>
      <c r="AY482">
        <f t="shared" si="78"/>
        <v>0</v>
      </c>
    </row>
    <row r="483" spans="38:51" x14ac:dyDescent="0.35">
      <c r="AL483" s="19" t="s">
        <v>108</v>
      </c>
      <c r="AM483">
        <f t="shared" si="66"/>
        <v>0</v>
      </c>
      <c r="AN483">
        <f t="shared" si="67"/>
        <v>0</v>
      </c>
      <c r="AO483">
        <f t="shared" si="68"/>
        <v>0</v>
      </c>
      <c r="AP483">
        <f t="shared" si="69"/>
        <v>0</v>
      </c>
      <c r="AQ483">
        <f t="shared" si="70"/>
        <v>0</v>
      </c>
      <c r="AR483">
        <f t="shared" si="71"/>
        <v>0</v>
      </c>
      <c r="AS483">
        <f t="shared" si="72"/>
        <v>0</v>
      </c>
      <c r="AT483">
        <f t="shared" si="73"/>
        <v>0</v>
      </c>
      <c r="AU483">
        <f t="shared" si="74"/>
        <v>0</v>
      </c>
      <c r="AV483">
        <f t="shared" si="75"/>
        <v>0</v>
      </c>
      <c r="AW483">
        <f t="shared" si="76"/>
        <v>0</v>
      </c>
      <c r="AX483">
        <f t="shared" si="77"/>
        <v>0</v>
      </c>
      <c r="AY483">
        <f t="shared" si="78"/>
        <v>0</v>
      </c>
    </row>
    <row r="484" spans="38:51" x14ac:dyDescent="0.35">
      <c r="AL484" s="19" t="s">
        <v>109</v>
      </c>
      <c r="AM484">
        <f t="shared" si="66"/>
        <v>0</v>
      </c>
      <c r="AN484">
        <f t="shared" si="67"/>
        <v>0</v>
      </c>
      <c r="AO484">
        <f t="shared" si="68"/>
        <v>0</v>
      </c>
      <c r="AP484">
        <f t="shared" si="69"/>
        <v>0</v>
      </c>
      <c r="AQ484">
        <f t="shared" si="70"/>
        <v>0</v>
      </c>
      <c r="AR484">
        <f t="shared" si="71"/>
        <v>0</v>
      </c>
      <c r="AS484">
        <f t="shared" si="72"/>
        <v>0</v>
      </c>
      <c r="AT484">
        <f t="shared" si="73"/>
        <v>0</v>
      </c>
      <c r="AU484">
        <f t="shared" si="74"/>
        <v>0</v>
      </c>
      <c r="AV484">
        <f t="shared" si="75"/>
        <v>0</v>
      </c>
      <c r="AW484">
        <f t="shared" si="76"/>
        <v>0</v>
      </c>
      <c r="AX484">
        <f t="shared" si="77"/>
        <v>0</v>
      </c>
      <c r="AY484">
        <f t="shared" si="78"/>
        <v>0</v>
      </c>
    </row>
    <row r="485" spans="38:51" x14ac:dyDescent="0.35">
      <c r="AL485" s="19" t="s">
        <v>110</v>
      </c>
      <c r="AM485">
        <f t="shared" si="66"/>
        <v>0</v>
      </c>
      <c r="AN485">
        <f t="shared" si="67"/>
        <v>0</v>
      </c>
      <c r="AO485">
        <f t="shared" si="68"/>
        <v>0</v>
      </c>
      <c r="AP485">
        <f t="shared" si="69"/>
        <v>0</v>
      </c>
      <c r="AQ485">
        <f t="shared" si="70"/>
        <v>0</v>
      </c>
      <c r="AR485">
        <f t="shared" si="71"/>
        <v>0</v>
      </c>
      <c r="AS485">
        <f t="shared" si="72"/>
        <v>0</v>
      </c>
      <c r="AT485">
        <f t="shared" si="73"/>
        <v>0</v>
      </c>
      <c r="AU485">
        <f t="shared" si="74"/>
        <v>0</v>
      </c>
      <c r="AV485">
        <f t="shared" si="75"/>
        <v>0</v>
      </c>
      <c r="AW485">
        <f t="shared" si="76"/>
        <v>0</v>
      </c>
      <c r="AX485">
        <f t="shared" si="77"/>
        <v>0</v>
      </c>
      <c r="AY485">
        <f t="shared" si="78"/>
        <v>0</v>
      </c>
    </row>
    <row r="486" spans="38:51" x14ac:dyDescent="0.35">
      <c r="AL486" s="19" t="s">
        <v>288</v>
      </c>
      <c r="AM486">
        <f t="shared" si="66"/>
        <v>0</v>
      </c>
      <c r="AN486">
        <f t="shared" si="67"/>
        <v>0</v>
      </c>
      <c r="AO486">
        <f t="shared" si="68"/>
        <v>0</v>
      </c>
      <c r="AP486">
        <f t="shared" si="69"/>
        <v>0</v>
      </c>
      <c r="AQ486">
        <f t="shared" si="70"/>
        <v>0</v>
      </c>
      <c r="AR486">
        <f t="shared" si="71"/>
        <v>0</v>
      </c>
      <c r="AS486">
        <f t="shared" si="72"/>
        <v>0</v>
      </c>
      <c r="AT486">
        <f t="shared" si="73"/>
        <v>0</v>
      </c>
      <c r="AU486">
        <f t="shared" si="74"/>
        <v>0</v>
      </c>
      <c r="AV486">
        <f t="shared" si="75"/>
        <v>0</v>
      </c>
      <c r="AW486">
        <f t="shared" si="76"/>
        <v>0</v>
      </c>
      <c r="AX486">
        <f t="shared" si="77"/>
        <v>0</v>
      </c>
      <c r="AY486">
        <f t="shared" si="78"/>
        <v>0</v>
      </c>
    </row>
    <row r="487" spans="38:51" x14ac:dyDescent="0.35">
      <c r="AL487" s="19" t="s">
        <v>111</v>
      </c>
      <c r="AM487">
        <f t="shared" si="66"/>
        <v>0</v>
      </c>
      <c r="AN487">
        <f t="shared" si="67"/>
        <v>0</v>
      </c>
      <c r="AO487">
        <f t="shared" si="68"/>
        <v>0</v>
      </c>
      <c r="AP487">
        <f t="shared" si="69"/>
        <v>0</v>
      </c>
      <c r="AQ487">
        <f t="shared" si="70"/>
        <v>0</v>
      </c>
      <c r="AR487">
        <f t="shared" si="71"/>
        <v>0</v>
      </c>
      <c r="AS487">
        <f t="shared" si="72"/>
        <v>0</v>
      </c>
      <c r="AT487">
        <f t="shared" si="73"/>
        <v>0</v>
      </c>
      <c r="AU487">
        <f t="shared" si="74"/>
        <v>0</v>
      </c>
      <c r="AV487">
        <f t="shared" si="75"/>
        <v>0</v>
      </c>
      <c r="AW487">
        <f t="shared" si="76"/>
        <v>0</v>
      </c>
      <c r="AX487">
        <f t="shared" si="77"/>
        <v>0</v>
      </c>
      <c r="AY487">
        <f t="shared" si="78"/>
        <v>0</v>
      </c>
    </row>
    <row r="488" spans="38:51" x14ac:dyDescent="0.35">
      <c r="AL488" s="19" t="s">
        <v>112</v>
      </c>
      <c r="AM488">
        <f t="shared" si="66"/>
        <v>0</v>
      </c>
      <c r="AN488">
        <f t="shared" si="67"/>
        <v>0</v>
      </c>
      <c r="AO488">
        <f t="shared" si="68"/>
        <v>0</v>
      </c>
      <c r="AP488">
        <f t="shared" si="69"/>
        <v>0</v>
      </c>
      <c r="AQ488">
        <f t="shared" si="70"/>
        <v>0</v>
      </c>
      <c r="AR488">
        <f t="shared" si="71"/>
        <v>0</v>
      </c>
      <c r="AS488">
        <f t="shared" si="72"/>
        <v>0</v>
      </c>
      <c r="AT488">
        <f t="shared" si="73"/>
        <v>0</v>
      </c>
      <c r="AU488">
        <f t="shared" si="74"/>
        <v>0</v>
      </c>
      <c r="AV488">
        <f t="shared" si="75"/>
        <v>0</v>
      </c>
      <c r="AW488">
        <f t="shared" si="76"/>
        <v>0</v>
      </c>
      <c r="AX488">
        <f t="shared" si="77"/>
        <v>0</v>
      </c>
      <c r="AY488">
        <f t="shared" si="78"/>
        <v>0</v>
      </c>
    </row>
    <row r="489" spans="38:51" x14ac:dyDescent="0.35">
      <c r="AL489" s="19" t="s">
        <v>113</v>
      </c>
      <c r="AM489">
        <f t="shared" si="66"/>
        <v>0</v>
      </c>
      <c r="AN489">
        <f t="shared" si="67"/>
        <v>0</v>
      </c>
      <c r="AO489">
        <f t="shared" si="68"/>
        <v>0</v>
      </c>
      <c r="AP489">
        <f t="shared" si="69"/>
        <v>0</v>
      </c>
      <c r="AQ489">
        <f t="shared" si="70"/>
        <v>0</v>
      </c>
      <c r="AR489">
        <f t="shared" si="71"/>
        <v>0</v>
      </c>
      <c r="AS489">
        <f t="shared" si="72"/>
        <v>0</v>
      </c>
      <c r="AT489">
        <f t="shared" si="73"/>
        <v>0</v>
      </c>
      <c r="AU489">
        <f t="shared" si="74"/>
        <v>0</v>
      </c>
      <c r="AV489">
        <f t="shared" si="75"/>
        <v>0</v>
      </c>
      <c r="AW489">
        <f t="shared" si="76"/>
        <v>0</v>
      </c>
      <c r="AX489">
        <f t="shared" si="77"/>
        <v>0</v>
      </c>
      <c r="AY489">
        <f t="shared" si="78"/>
        <v>0</v>
      </c>
    </row>
    <row r="490" spans="38:51" x14ac:dyDescent="0.35">
      <c r="AL490" s="19" t="s">
        <v>114</v>
      </c>
      <c r="AM490">
        <f t="shared" si="66"/>
        <v>0</v>
      </c>
      <c r="AN490">
        <f t="shared" si="67"/>
        <v>0</v>
      </c>
      <c r="AO490">
        <f t="shared" si="68"/>
        <v>0</v>
      </c>
      <c r="AP490">
        <f t="shared" si="69"/>
        <v>0</v>
      </c>
      <c r="AQ490">
        <f t="shared" si="70"/>
        <v>0</v>
      </c>
      <c r="AR490">
        <f t="shared" si="71"/>
        <v>0</v>
      </c>
      <c r="AS490">
        <f t="shared" si="72"/>
        <v>0</v>
      </c>
      <c r="AT490">
        <f t="shared" si="73"/>
        <v>0</v>
      </c>
      <c r="AU490">
        <f t="shared" si="74"/>
        <v>0</v>
      </c>
      <c r="AV490">
        <f t="shared" si="75"/>
        <v>0</v>
      </c>
      <c r="AW490">
        <f t="shared" si="76"/>
        <v>0</v>
      </c>
      <c r="AX490">
        <f t="shared" si="77"/>
        <v>0</v>
      </c>
      <c r="AY490">
        <f t="shared" si="78"/>
        <v>0</v>
      </c>
    </row>
    <row r="491" spans="38:51" x14ac:dyDescent="0.35">
      <c r="AL491" s="19" t="s">
        <v>115</v>
      </c>
      <c r="AM491">
        <f t="shared" si="66"/>
        <v>1</v>
      </c>
      <c r="AN491">
        <f t="shared" si="67"/>
        <v>0</v>
      </c>
      <c r="AO491">
        <f t="shared" si="68"/>
        <v>0</v>
      </c>
      <c r="AP491">
        <f t="shared" si="69"/>
        <v>1</v>
      </c>
      <c r="AQ491">
        <f t="shared" si="70"/>
        <v>0</v>
      </c>
      <c r="AR491">
        <f t="shared" si="71"/>
        <v>0</v>
      </c>
      <c r="AS491">
        <f t="shared" si="72"/>
        <v>2</v>
      </c>
      <c r="AT491">
        <f t="shared" si="73"/>
        <v>0</v>
      </c>
      <c r="AU491">
        <f t="shared" si="74"/>
        <v>0</v>
      </c>
      <c r="AV491">
        <f t="shared" si="75"/>
        <v>1</v>
      </c>
      <c r="AW491">
        <f t="shared" si="76"/>
        <v>0</v>
      </c>
      <c r="AX491">
        <f t="shared" si="77"/>
        <v>1</v>
      </c>
      <c r="AY491">
        <f t="shared" si="78"/>
        <v>0</v>
      </c>
    </row>
    <row r="492" spans="38:51" x14ac:dyDescent="0.35">
      <c r="AL492" s="19" t="s">
        <v>280</v>
      </c>
      <c r="AM492">
        <f t="shared" si="66"/>
        <v>0</v>
      </c>
      <c r="AN492">
        <f t="shared" si="67"/>
        <v>0</v>
      </c>
      <c r="AO492">
        <f t="shared" si="68"/>
        <v>0</v>
      </c>
      <c r="AP492">
        <f t="shared" si="69"/>
        <v>0</v>
      </c>
      <c r="AQ492">
        <f t="shared" si="70"/>
        <v>0</v>
      </c>
      <c r="AR492">
        <f t="shared" si="71"/>
        <v>0</v>
      </c>
      <c r="AS492">
        <f t="shared" si="72"/>
        <v>0</v>
      </c>
      <c r="AT492">
        <f t="shared" si="73"/>
        <v>0</v>
      </c>
      <c r="AU492">
        <f t="shared" si="74"/>
        <v>0</v>
      </c>
      <c r="AV492">
        <f t="shared" si="75"/>
        <v>0</v>
      </c>
      <c r="AW492">
        <f t="shared" si="76"/>
        <v>0</v>
      </c>
      <c r="AX492">
        <f t="shared" si="77"/>
        <v>0</v>
      </c>
      <c r="AY492">
        <f t="shared" si="78"/>
        <v>0</v>
      </c>
    </row>
    <row r="493" spans="38:51" x14ac:dyDescent="0.35">
      <c r="AL493" s="19" t="s">
        <v>116</v>
      </c>
      <c r="AM493">
        <f t="shared" si="66"/>
        <v>0</v>
      </c>
      <c r="AN493">
        <f t="shared" si="67"/>
        <v>0</v>
      </c>
      <c r="AO493">
        <f t="shared" si="68"/>
        <v>0</v>
      </c>
      <c r="AP493">
        <f t="shared" si="69"/>
        <v>0</v>
      </c>
      <c r="AQ493">
        <f t="shared" si="70"/>
        <v>0</v>
      </c>
      <c r="AR493">
        <f t="shared" si="71"/>
        <v>3</v>
      </c>
      <c r="AS493">
        <f t="shared" si="72"/>
        <v>0</v>
      </c>
      <c r="AT493">
        <f t="shared" si="73"/>
        <v>0</v>
      </c>
      <c r="AU493">
        <f t="shared" si="74"/>
        <v>0</v>
      </c>
      <c r="AV493">
        <f t="shared" si="75"/>
        <v>0</v>
      </c>
      <c r="AW493">
        <f t="shared" si="76"/>
        <v>0</v>
      </c>
      <c r="AX493">
        <f t="shared" si="77"/>
        <v>0</v>
      </c>
      <c r="AY493">
        <f t="shared" si="78"/>
        <v>0</v>
      </c>
    </row>
    <row r="494" spans="38:51" x14ac:dyDescent="0.35">
      <c r="AL494" s="19" t="s">
        <v>117</v>
      </c>
      <c r="AM494">
        <f t="shared" si="66"/>
        <v>0</v>
      </c>
      <c r="AN494">
        <f t="shared" si="67"/>
        <v>0</v>
      </c>
      <c r="AO494">
        <f t="shared" si="68"/>
        <v>0</v>
      </c>
      <c r="AP494">
        <f t="shared" si="69"/>
        <v>0</v>
      </c>
      <c r="AQ494">
        <f t="shared" si="70"/>
        <v>0</v>
      </c>
      <c r="AR494">
        <f t="shared" si="71"/>
        <v>0</v>
      </c>
      <c r="AS494">
        <f t="shared" si="72"/>
        <v>0</v>
      </c>
      <c r="AT494">
        <f t="shared" si="73"/>
        <v>0</v>
      </c>
      <c r="AU494">
        <f t="shared" si="74"/>
        <v>0</v>
      </c>
      <c r="AV494">
        <f t="shared" si="75"/>
        <v>0</v>
      </c>
      <c r="AW494">
        <f t="shared" si="76"/>
        <v>0</v>
      </c>
      <c r="AX494">
        <f t="shared" si="77"/>
        <v>0</v>
      </c>
      <c r="AY494">
        <f t="shared" si="78"/>
        <v>0</v>
      </c>
    </row>
    <row r="495" spans="38:51" x14ac:dyDescent="0.35">
      <c r="AL495" s="19" t="s">
        <v>118</v>
      </c>
      <c r="AM495">
        <f t="shared" si="66"/>
        <v>0</v>
      </c>
      <c r="AN495">
        <f t="shared" si="67"/>
        <v>0</v>
      </c>
      <c r="AO495">
        <f t="shared" si="68"/>
        <v>0</v>
      </c>
      <c r="AP495">
        <f t="shared" si="69"/>
        <v>0</v>
      </c>
      <c r="AQ495">
        <f t="shared" si="70"/>
        <v>0</v>
      </c>
      <c r="AR495">
        <f t="shared" si="71"/>
        <v>0</v>
      </c>
      <c r="AS495">
        <f t="shared" si="72"/>
        <v>0</v>
      </c>
      <c r="AT495">
        <f t="shared" si="73"/>
        <v>0</v>
      </c>
      <c r="AU495">
        <f t="shared" si="74"/>
        <v>0</v>
      </c>
      <c r="AV495">
        <f t="shared" si="75"/>
        <v>0</v>
      </c>
      <c r="AW495">
        <f t="shared" si="76"/>
        <v>0</v>
      </c>
      <c r="AX495">
        <f t="shared" si="77"/>
        <v>0</v>
      </c>
      <c r="AY495">
        <f t="shared" si="78"/>
        <v>0</v>
      </c>
    </row>
    <row r="496" spans="38:51" x14ac:dyDescent="0.35">
      <c r="AL496" s="19" t="s">
        <v>119</v>
      </c>
      <c r="AM496">
        <f t="shared" si="66"/>
        <v>0</v>
      </c>
      <c r="AN496">
        <f t="shared" si="67"/>
        <v>0</v>
      </c>
      <c r="AO496">
        <f t="shared" si="68"/>
        <v>0</v>
      </c>
      <c r="AP496">
        <f t="shared" si="69"/>
        <v>0</v>
      </c>
      <c r="AQ496">
        <f t="shared" si="70"/>
        <v>0</v>
      </c>
      <c r="AR496">
        <f t="shared" si="71"/>
        <v>0</v>
      </c>
      <c r="AS496">
        <f t="shared" si="72"/>
        <v>0</v>
      </c>
      <c r="AT496">
        <f t="shared" si="73"/>
        <v>0</v>
      </c>
      <c r="AU496">
        <f t="shared" si="74"/>
        <v>0</v>
      </c>
      <c r="AV496">
        <f t="shared" si="75"/>
        <v>0</v>
      </c>
      <c r="AW496">
        <f t="shared" si="76"/>
        <v>0</v>
      </c>
      <c r="AX496">
        <f t="shared" si="77"/>
        <v>0</v>
      </c>
      <c r="AY496">
        <f t="shared" si="78"/>
        <v>0</v>
      </c>
    </row>
    <row r="497" spans="38:51" x14ac:dyDescent="0.35">
      <c r="AL497" s="19" t="s">
        <v>335</v>
      </c>
      <c r="AM497">
        <f t="shared" si="66"/>
        <v>0</v>
      </c>
      <c r="AN497">
        <f t="shared" si="67"/>
        <v>0</v>
      </c>
      <c r="AO497">
        <f t="shared" si="68"/>
        <v>0</v>
      </c>
      <c r="AP497">
        <f t="shared" si="69"/>
        <v>0</v>
      </c>
      <c r="AQ497">
        <f t="shared" si="70"/>
        <v>0</v>
      </c>
      <c r="AR497">
        <f t="shared" si="71"/>
        <v>0</v>
      </c>
      <c r="AS497">
        <f t="shared" si="72"/>
        <v>0</v>
      </c>
      <c r="AT497">
        <f t="shared" si="73"/>
        <v>0</v>
      </c>
      <c r="AU497">
        <f t="shared" si="74"/>
        <v>0</v>
      </c>
      <c r="AV497">
        <f t="shared" si="75"/>
        <v>0</v>
      </c>
      <c r="AW497">
        <f t="shared" si="76"/>
        <v>0</v>
      </c>
      <c r="AX497">
        <f t="shared" si="77"/>
        <v>0</v>
      </c>
      <c r="AY497">
        <f t="shared" si="78"/>
        <v>0</v>
      </c>
    </row>
    <row r="498" spans="38:51" x14ac:dyDescent="0.35">
      <c r="AL498" s="19" t="s">
        <v>120</v>
      </c>
      <c r="AM498">
        <f t="shared" ref="AM498:AM557" si="79">COUNTIF($AM73:$AS73,"&gt;=100%")</f>
        <v>0</v>
      </c>
      <c r="AN498">
        <f t="shared" ref="AN498:AN557" si="80">COUNTIF($AU73:$BA73,"&gt;=100%")</f>
        <v>0</v>
      </c>
      <c r="AO498">
        <f t="shared" ref="AO498:AO557" si="81">COUNTIF($BC73:$BI73,"&gt;=100%")</f>
        <v>0</v>
      </c>
      <c r="AP498">
        <f t="shared" ref="AP498:AP557" si="82">COUNTIF($BK73:$BQ73,"&gt;=100%")</f>
        <v>0</v>
      </c>
      <c r="AQ498">
        <f t="shared" ref="AQ498:AQ557" si="83">COUNTIF($BS73:$BY73,"&gt;=100%")</f>
        <v>0</v>
      </c>
      <c r="AR498">
        <f t="shared" ref="AR498:AR557" si="84">COUNTIF($CA73:$CG73,"&gt;=100%")</f>
        <v>0</v>
      </c>
      <c r="AS498">
        <f t="shared" ref="AS498:AS557" si="85">COUNTIF($CI73:$CO73,"&gt;=100%")</f>
        <v>0</v>
      </c>
      <c r="AT498">
        <f t="shared" ref="AT498:AT557" si="86">COUNTIF($CQ73:$CW73,"&gt;=100%")</f>
        <v>0</v>
      </c>
      <c r="AU498">
        <f t="shared" ref="AU498:AU557" si="87">COUNTIF($CY73:$DE73,"&gt;=100%")</f>
        <v>0</v>
      </c>
      <c r="AV498">
        <f t="shared" ref="AV498:AV557" si="88">COUNTIF($DG73:$DM73,"&gt;=100%")</f>
        <v>0</v>
      </c>
      <c r="AW498">
        <f t="shared" ref="AW498:AW557" si="89">COUNTIF($DO73:$DU73,"&gt;=100%")</f>
        <v>0</v>
      </c>
      <c r="AX498">
        <f t="shared" ref="AX498:AX557" si="90">COUNTIF($DW73:$EC73,"&gt;=100%")</f>
        <v>0</v>
      </c>
      <c r="AY498">
        <f t="shared" ref="AY498:AY557" si="91">COUNTIF($EE73:$EK73,"&gt;=100%")</f>
        <v>0</v>
      </c>
    </row>
    <row r="499" spans="38:51" x14ac:dyDescent="0.35">
      <c r="AL499" s="19" t="s">
        <v>121</v>
      </c>
      <c r="AM499">
        <f t="shared" si="79"/>
        <v>0</v>
      </c>
      <c r="AN499">
        <f t="shared" si="80"/>
        <v>0</v>
      </c>
      <c r="AO499">
        <f t="shared" si="81"/>
        <v>0</v>
      </c>
      <c r="AP499">
        <f t="shared" si="82"/>
        <v>0</v>
      </c>
      <c r="AQ499">
        <f t="shared" si="83"/>
        <v>0</v>
      </c>
      <c r="AR499">
        <f t="shared" si="84"/>
        <v>0</v>
      </c>
      <c r="AS499">
        <f t="shared" si="85"/>
        <v>0</v>
      </c>
      <c r="AT499">
        <f t="shared" si="86"/>
        <v>0</v>
      </c>
      <c r="AU499">
        <f t="shared" si="87"/>
        <v>0</v>
      </c>
      <c r="AV499">
        <f t="shared" si="88"/>
        <v>0</v>
      </c>
      <c r="AW499">
        <f t="shared" si="89"/>
        <v>0</v>
      </c>
      <c r="AX499">
        <f t="shared" si="90"/>
        <v>0</v>
      </c>
      <c r="AY499">
        <f t="shared" si="91"/>
        <v>0</v>
      </c>
    </row>
    <row r="500" spans="38:51" x14ac:dyDescent="0.35">
      <c r="AL500" s="19" t="s">
        <v>122</v>
      </c>
      <c r="AM500">
        <f t="shared" si="79"/>
        <v>0</v>
      </c>
      <c r="AN500">
        <f t="shared" si="80"/>
        <v>0</v>
      </c>
      <c r="AO500">
        <f t="shared" si="81"/>
        <v>0</v>
      </c>
      <c r="AP500">
        <f t="shared" si="82"/>
        <v>0</v>
      </c>
      <c r="AQ500">
        <f t="shared" si="83"/>
        <v>0</v>
      </c>
      <c r="AR500">
        <f t="shared" si="84"/>
        <v>0</v>
      </c>
      <c r="AS500">
        <f t="shared" si="85"/>
        <v>0</v>
      </c>
      <c r="AT500">
        <f t="shared" si="86"/>
        <v>0</v>
      </c>
      <c r="AU500">
        <f t="shared" si="87"/>
        <v>0</v>
      </c>
      <c r="AV500">
        <f t="shared" si="88"/>
        <v>0</v>
      </c>
      <c r="AW500">
        <f t="shared" si="89"/>
        <v>0</v>
      </c>
      <c r="AX500">
        <f t="shared" si="90"/>
        <v>0</v>
      </c>
      <c r="AY500">
        <f t="shared" si="91"/>
        <v>0</v>
      </c>
    </row>
    <row r="501" spans="38:51" x14ac:dyDescent="0.35">
      <c r="AL501" s="19" t="s">
        <v>123</v>
      </c>
      <c r="AM501">
        <f t="shared" si="79"/>
        <v>0</v>
      </c>
      <c r="AN501">
        <f t="shared" si="80"/>
        <v>0</v>
      </c>
      <c r="AO501">
        <f t="shared" si="81"/>
        <v>0</v>
      </c>
      <c r="AP501">
        <f t="shared" si="82"/>
        <v>0</v>
      </c>
      <c r="AQ501">
        <f t="shared" si="83"/>
        <v>0</v>
      </c>
      <c r="AR501">
        <f t="shared" si="84"/>
        <v>0</v>
      </c>
      <c r="AS501">
        <f t="shared" si="85"/>
        <v>0</v>
      </c>
      <c r="AT501">
        <f t="shared" si="86"/>
        <v>0</v>
      </c>
      <c r="AU501">
        <f t="shared" si="87"/>
        <v>0</v>
      </c>
      <c r="AV501">
        <f t="shared" si="88"/>
        <v>0</v>
      </c>
      <c r="AW501">
        <f t="shared" si="89"/>
        <v>0</v>
      </c>
      <c r="AX501">
        <f t="shared" si="90"/>
        <v>0</v>
      </c>
      <c r="AY501">
        <f t="shared" si="91"/>
        <v>0</v>
      </c>
    </row>
    <row r="502" spans="38:51" x14ac:dyDescent="0.35">
      <c r="AL502" s="19" t="s">
        <v>124</v>
      </c>
      <c r="AM502">
        <f t="shared" si="79"/>
        <v>0</v>
      </c>
      <c r="AN502">
        <f t="shared" si="80"/>
        <v>0</v>
      </c>
      <c r="AO502">
        <f t="shared" si="81"/>
        <v>0</v>
      </c>
      <c r="AP502">
        <f t="shared" si="82"/>
        <v>0</v>
      </c>
      <c r="AQ502">
        <f t="shared" si="83"/>
        <v>0</v>
      </c>
      <c r="AR502">
        <f t="shared" si="84"/>
        <v>0</v>
      </c>
      <c r="AS502">
        <f t="shared" si="85"/>
        <v>0</v>
      </c>
      <c r="AT502">
        <f t="shared" si="86"/>
        <v>0</v>
      </c>
      <c r="AU502">
        <f t="shared" si="87"/>
        <v>0</v>
      </c>
      <c r="AV502">
        <f t="shared" si="88"/>
        <v>0</v>
      </c>
      <c r="AW502">
        <f t="shared" si="89"/>
        <v>0</v>
      </c>
      <c r="AX502">
        <f t="shared" si="90"/>
        <v>0</v>
      </c>
      <c r="AY502">
        <f t="shared" si="91"/>
        <v>0</v>
      </c>
    </row>
    <row r="503" spans="38:51" x14ac:dyDescent="0.35">
      <c r="AL503" s="19" t="s">
        <v>289</v>
      </c>
      <c r="AM503">
        <f t="shared" si="79"/>
        <v>0</v>
      </c>
      <c r="AN503">
        <f t="shared" si="80"/>
        <v>1</v>
      </c>
      <c r="AO503">
        <f t="shared" si="81"/>
        <v>0</v>
      </c>
      <c r="AP503">
        <f t="shared" si="82"/>
        <v>0</v>
      </c>
      <c r="AQ503">
        <f t="shared" si="83"/>
        <v>0</v>
      </c>
      <c r="AR503">
        <f t="shared" si="84"/>
        <v>0</v>
      </c>
      <c r="AS503">
        <f t="shared" si="85"/>
        <v>0</v>
      </c>
      <c r="AT503">
        <f t="shared" si="86"/>
        <v>0</v>
      </c>
      <c r="AU503">
        <f t="shared" si="87"/>
        <v>0</v>
      </c>
      <c r="AV503">
        <f t="shared" si="88"/>
        <v>0</v>
      </c>
      <c r="AW503">
        <f t="shared" si="89"/>
        <v>0</v>
      </c>
      <c r="AX503">
        <f t="shared" si="90"/>
        <v>0</v>
      </c>
      <c r="AY503">
        <f t="shared" si="91"/>
        <v>0</v>
      </c>
    </row>
    <row r="504" spans="38:51" x14ac:dyDescent="0.35">
      <c r="AL504" s="19" t="s">
        <v>125</v>
      </c>
      <c r="AM504">
        <f t="shared" si="79"/>
        <v>0</v>
      </c>
      <c r="AN504">
        <f t="shared" si="80"/>
        <v>0</v>
      </c>
      <c r="AO504">
        <f t="shared" si="81"/>
        <v>0</v>
      </c>
      <c r="AP504">
        <f t="shared" si="82"/>
        <v>0</v>
      </c>
      <c r="AQ504">
        <f t="shared" si="83"/>
        <v>0</v>
      </c>
      <c r="AR504">
        <f t="shared" si="84"/>
        <v>0</v>
      </c>
      <c r="AS504">
        <f t="shared" si="85"/>
        <v>0</v>
      </c>
      <c r="AT504">
        <f t="shared" si="86"/>
        <v>0</v>
      </c>
      <c r="AU504">
        <f t="shared" si="87"/>
        <v>0</v>
      </c>
      <c r="AV504">
        <f t="shared" si="88"/>
        <v>0</v>
      </c>
      <c r="AW504">
        <f t="shared" si="89"/>
        <v>0</v>
      </c>
      <c r="AX504">
        <f t="shared" si="90"/>
        <v>0</v>
      </c>
      <c r="AY504">
        <f t="shared" si="91"/>
        <v>0</v>
      </c>
    </row>
    <row r="505" spans="38:51" x14ac:dyDescent="0.35">
      <c r="AL505" s="19" t="s">
        <v>126</v>
      </c>
      <c r="AM505">
        <f t="shared" si="79"/>
        <v>0</v>
      </c>
      <c r="AN505">
        <f t="shared" si="80"/>
        <v>0</v>
      </c>
      <c r="AO505">
        <f t="shared" si="81"/>
        <v>0</v>
      </c>
      <c r="AP505">
        <f t="shared" si="82"/>
        <v>0</v>
      </c>
      <c r="AQ505">
        <f t="shared" si="83"/>
        <v>0</v>
      </c>
      <c r="AR505">
        <f t="shared" si="84"/>
        <v>0</v>
      </c>
      <c r="AS505">
        <f t="shared" si="85"/>
        <v>0</v>
      </c>
      <c r="AT505">
        <f t="shared" si="86"/>
        <v>0</v>
      </c>
      <c r="AU505">
        <f t="shared" si="87"/>
        <v>0</v>
      </c>
      <c r="AV505">
        <f t="shared" si="88"/>
        <v>0</v>
      </c>
      <c r="AW505">
        <f t="shared" si="89"/>
        <v>0</v>
      </c>
      <c r="AX505">
        <f t="shared" si="90"/>
        <v>0</v>
      </c>
      <c r="AY505">
        <f t="shared" si="91"/>
        <v>0</v>
      </c>
    </row>
    <row r="506" spans="38:51" x14ac:dyDescent="0.35">
      <c r="AL506" s="19" t="s">
        <v>127</v>
      </c>
      <c r="AM506">
        <f t="shared" si="79"/>
        <v>0</v>
      </c>
      <c r="AN506">
        <f t="shared" si="80"/>
        <v>0</v>
      </c>
      <c r="AO506">
        <f t="shared" si="81"/>
        <v>0</v>
      </c>
      <c r="AP506">
        <f t="shared" si="82"/>
        <v>0</v>
      </c>
      <c r="AQ506">
        <f t="shared" si="83"/>
        <v>0</v>
      </c>
      <c r="AR506">
        <f t="shared" si="84"/>
        <v>0</v>
      </c>
      <c r="AS506">
        <f t="shared" si="85"/>
        <v>0</v>
      </c>
      <c r="AT506">
        <f t="shared" si="86"/>
        <v>0</v>
      </c>
      <c r="AU506">
        <f t="shared" si="87"/>
        <v>0</v>
      </c>
      <c r="AV506">
        <f t="shared" si="88"/>
        <v>0</v>
      </c>
      <c r="AW506">
        <f t="shared" si="89"/>
        <v>0</v>
      </c>
      <c r="AX506">
        <f t="shared" si="90"/>
        <v>0</v>
      </c>
      <c r="AY506">
        <f t="shared" si="91"/>
        <v>0</v>
      </c>
    </row>
    <row r="507" spans="38:51" x14ac:dyDescent="0.35">
      <c r="AL507" s="19" t="s">
        <v>128</v>
      </c>
      <c r="AM507">
        <f t="shared" si="79"/>
        <v>0</v>
      </c>
      <c r="AN507">
        <f t="shared" si="80"/>
        <v>0</v>
      </c>
      <c r="AO507">
        <f t="shared" si="81"/>
        <v>0</v>
      </c>
      <c r="AP507">
        <f t="shared" si="82"/>
        <v>0</v>
      </c>
      <c r="AQ507">
        <f t="shared" si="83"/>
        <v>0</v>
      </c>
      <c r="AR507">
        <f t="shared" si="84"/>
        <v>0</v>
      </c>
      <c r="AS507">
        <f t="shared" si="85"/>
        <v>0</v>
      </c>
      <c r="AT507">
        <f t="shared" si="86"/>
        <v>0</v>
      </c>
      <c r="AU507">
        <f t="shared" si="87"/>
        <v>0</v>
      </c>
      <c r="AV507">
        <f t="shared" si="88"/>
        <v>0</v>
      </c>
      <c r="AW507">
        <f t="shared" si="89"/>
        <v>0</v>
      </c>
      <c r="AX507">
        <f t="shared" si="90"/>
        <v>0</v>
      </c>
      <c r="AY507">
        <f t="shared" si="91"/>
        <v>0</v>
      </c>
    </row>
    <row r="508" spans="38:51" x14ac:dyDescent="0.35">
      <c r="AL508" s="19" t="s">
        <v>336</v>
      </c>
      <c r="AM508">
        <f t="shared" si="79"/>
        <v>0</v>
      </c>
      <c r="AN508">
        <f t="shared" si="80"/>
        <v>0</v>
      </c>
      <c r="AO508">
        <f t="shared" si="81"/>
        <v>0</v>
      </c>
      <c r="AP508">
        <f t="shared" si="82"/>
        <v>0</v>
      </c>
      <c r="AQ508">
        <f t="shared" si="83"/>
        <v>0</v>
      </c>
      <c r="AR508">
        <f t="shared" si="84"/>
        <v>0</v>
      </c>
      <c r="AS508">
        <f t="shared" si="85"/>
        <v>0</v>
      </c>
      <c r="AT508">
        <f t="shared" si="86"/>
        <v>0</v>
      </c>
      <c r="AU508">
        <f t="shared" si="87"/>
        <v>0</v>
      </c>
      <c r="AV508">
        <f t="shared" si="88"/>
        <v>0</v>
      </c>
      <c r="AW508">
        <f t="shared" si="89"/>
        <v>0</v>
      </c>
      <c r="AX508">
        <f t="shared" si="90"/>
        <v>0</v>
      </c>
      <c r="AY508">
        <f t="shared" si="91"/>
        <v>0</v>
      </c>
    </row>
    <row r="509" spans="38:51" x14ac:dyDescent="0.35">
      <c r="AL509" s="19" t="s">
        <v>129</v>
      </c>
      <c r="AM509">
        <f t="shared" si="79"/>
        <v>0</v>
      </c>
      <c r="AN509">
        <f t="shared" si="80"/>
        <v>0</v>
      </c>
      <c r="AO509">
        <f t="shared" si="81"/>
        <v>0</v>
      </c>
      <c r="AP509">
        <f t="shared" si="82"/>
        <v>0</v>
      </c>
      <c r="AQ509">
        <f t="shared" si="83"/>
        <v>0</v>
      </c>
      <c r="AR509">
        <f t="shared" si="84"/>
        <v>0</v>
      </c>
      <c r="AS509">
        <f t="shared" si="85"/>
        <v>0</v>
      </c>
      <c r="AT509">
        <f t="shared" si="86"/>
        <v>0</v>
      </c>
      <c r="AU509">
        <f t="shared" si="87"/>
        <v>0</v>
      </c>
      <c r="AV509">
        <f t="shared" si="88"/>
        <v>0</v>
      </c>
      <c r="AW509">
        <f t="shared" si="89"/>
        <v>0</v>
      </c>
      <c r="AX509">
        <f t="shared" si="90"/>
        <v>0</v>
      </c>
      <c r="AY509">
        <f t="shared" si="91"/>
        <v>0</v>
      </c>
    </row>
    <row r="510" spans="38:51" x14ac:dyDescent="0.35">
      <c r="AL510" s="19" t="s">
        <v>130</v>
      </c>
      <c r="AM510">
        <f t="shared" si="79"/>
        <v>0</v>
      </c>
      <c r="AN510">
        <f t="shared" si="80"/>
        <v>0</v>
      </c>
      <c r="AO510">
        <f t="shared" si="81"/>
        <v>0</v>
      </c>
      <c r="AP510">
        <f t="shared" si="82"/>
        <v>0</v>
      </c>
      <c r="AQ510">
        <f t="shared" si="83"/>
        <v>0</v>
      </c>
      <c r="AR510">
        <f t="shared" si="84"/>
        <v>0</v>
      </c>
      <c r="AS510">
        <f t="shared" si="85"/>
        <v>0</v>
      </c>
      <c r="AT510">
        <f t="shared" si="86"/>
        <v>0</v>
      </c>
      <c r="AU510">
        <f t="shared" si="87"/>
        <v>0</v>
      </c>
      <c r="AV510">
        <f t="shared" si="88"/>
        <v>0</v>
      </c>
      <c r="AW510">
        <f t="shared" si="89"/>
        <v>0</v>
      </c>
      <c r="AX510">
        <f t="shared" si="90"/>
        <v>0</v>
      </c>
      <c r="AY510">
        <f t="shared" si="91"/>
        <v>0</v>
      </c>
    </row>
    <row r="511" spans="38:51" x14ac:dyDescent="0.35">
      <c r="AL511" s="19" t="s">
        <v>131</v>
      </c>
      <c r="AM511">
        <f t="shared" si="79"/>
        <v>0</v>
      </c>
      <c r="AN511">
        <f t="shared" si="80"/>
        <v>0</v>
      </c>
      <c r="AO511">
        <f t="shared" si="81"/>
        <v>0</v>
      </c>
      <c r="AP511">
        <f t="shared" si="82"/>
        <v>0</v>
      </c>
      <c r="AQ511">
        <f t="shared" si="83"/>
        <v>0</v>
      </c>
      <c r="AR511">
        <f t="shared" si="84"/>
        <v>1</v>
      </c>
      <c r="AS511">
        <f t="shared" si="85"/>
        <v>0</v>
      </c>
      <c r="AT511">
        <f t="shared" si="86"/>
        <v>0</v>
      </c>
      <c r="AU511">
        <f t="shared" si="87"/>
        <v>0</v>
      </c>
      <c r="AV511">
        <f t="shared" si="88"/>
        <v>0</v>
      </c>
      <c r="AW511">
        <f t="shared" si="89"/>
        <v>0</v>
      </c>
      <c r="AX511">
        <f t="shared" si="90"/>
        <v>0</v>
      </c>
      <c r="AY511">
        <f t="shared" si="91"/>
        <v>0</v>
      </c>
    </row>
    <row r="512" spans="38:51" x14ac:dyDescent="0.35">
      <c r="AL512" s="19" t="s">
        <v>132</v>
      </c>
      <c r="AM512">
        <f t="shared" si="79"/>
        <v>0</v>
      </c>
      <c r="AN512">
        <f t="shared" si="80"/>
        <v>0</v>
      </c>
      <c r="AO512">
        <f t="shared" si="81"/>
        <v>0</v>
      </c>
      <c r="AP512">
        <f t="shared" si="82"/>
        <v>0</v>
      </c>
      <c r="AQ512">
        <f t="shared" si="83"/>
        <v>0</v>
      </c>
      <c r="AR512">
        <f t="shared" si="84"/>
        <v>0</v>
      </c>
      <c r="AS512">
        <f t="shared" si="85"/>
        <v>0</v>
      </c>
      <c r="AT512">
        <f t="shared" si="86"/>
        <v>0</v>
      </c>
      <c r="AU512">
        <f t="shared" si="87"/>
        <v>0</v>
      </c>
      <c r="AV512">
        <f t="shared" si="88"/>
        <v>0</v>
      </c>
      <c r="AW512">
        <f t="shared" si="89"/>
        <v>0</v>
      </c>
      <c r="AX512">
        <f t="shared" si="90"/>
        <v>0</v>
      </c>
      <c r="AY512">
        <f t="shared" si="91"/>
        <v>0</v>
      </c>
    </row>
    <row r="513" spans="38:51" x14ac:dyDescent="0.35">
      <c r="AL513" s="19" t="s">
        <v>133</v>
      </c>
      <c r="AM513">
        <f t="shared" si="79"/>
        <v>0</v>
      </c>
      <c r="AN513">
        <f t="shared" si="80"/>
        <v>0</v>
      </c>
      <c r="AO513">
        <f t="shared" si="81"/>
        <v>0</v>
      </c>
      <c r="AP513">
        <f t="shared" si="82"/>
        <v>0</v>
      </c>
      <c r="AQ513">
        <f t="shared" si="83"/>
        <v>0</v>
      </c>
      <c r="AR513">
        <f t="shared" si="84"/>
        <v>0</v>
      </c>
      <c r="AS513">
        <f t="shared" si="85"/>
        <v>0</v>
      </c>
      <c r="AT513">
        <f t="shared" si="86"/>
        <v>0</v>
      </c>
      <c r="AU513">
        <f t="shared" si="87"/>
        <v>0</v>
      </c>
      <c r="AV513">
        <f t="shared" si="88"/>
        <v>0</v>
      </c>
      <c r="AW513">
        <f t="shared" si="89"/>
        <v>0</v>
      </c>
      <c r="AX513">
        <f t="shared" si="90"/>
        <v>0</v>
      </c>
      <c r="AY513">
        <f t="shared" si="91"/>
        <v>0</v>
      </c>
    </row>
    <row r="514" spans="38:51" x14ac:dyDescent="0.35">
      <c r="AL514" s="19" t="s">
        <v>134</v>
      </c>
      <c r="AM514">
        <f t="shared" si="79"/>
        <v>0</v>
      </c>
      <c r="AN514">
        <f t="shared" si="80"/>
        <v>0</v>
      </c>
      <c r="AO514">
        <f t="shared" si="81"/>
        <v>0</v>
      </c>
      <c r="AP514">
        <f t="shared" si="82"/>
        <v>0</v>
      </c>
      <c r="AQ514">
        <f t="shared" si="83"/>
        <v>0</v>
      </c>
      <c r="AR514">
        <f t="shared" si="84"/>
        <v>0</v>
      </c>
      <c r="AS514">
        <f t="shared" si="85"/>
        <v>0</v>
      </c>
      <c r="AT514">
        <f t="shared" si="86"/>
        <v>0</v>
      </c>
      <c r="AU514">
        <f t="shared" si="87"/>
        <v>0</v>
      </c>
      <c r="AV514">
        <f t="shared" si="88"/>
        <v>0</v>
      </c>
      <c r="AW514">
        <f t="shared" si="89"/>
        <v>0</v>
      </c>
      <c r="AX514">
        <f t="shared" si="90"/>
        <v>0</v>
      </c>
      <c r="AY514">
        <f t="shared" si="91"/>
        <v>0</v>
      </c>
    </row>
    <row r="515" spans="38:51" x14ac:dyDescent="0.35">
      <c r="AL515" s="19" t="s">
        <v>135</v>
      </c>
      <c r="AM515">
        <f t="shared" si="79"/>
        <v>0</v>
      </c>
      <c r="AN515">
        <f t="shared" si="80"/>
        <v>0</v>
      </c>
      <c r="AO515">
        <f t="shared" si="81"/>
        <v>0</v>
      </c>
      <c r="AP515">
        <f t="shared" si="82"/>
        <v>0</v>
      </c>
      <c r="AQ515">
        <f t="shared" si="83"/>
        <v>0</v>
      </c>
      <c r="AR515">
        <f t="shared" si="84"/>
        <v>0</v>
      </c>
      <c r="AS515">
        <f t="shared" si="85"/>
        <v>0</v>
      </c>
      <c r="AT515">
        <f t="shared" si="86"/>
        <v>0</v>
      </c>
      <c r="AU515">
        <f t="shared" si="87"/>
        <v>0</v>
      </c>
      <c r="AV515">
        <f t="shared" si="88"/>
        <v>0</v>
      </c>
      <c r="AW515">
        <f t="shared" si="89"/>
        <v>0</v>
      </c>
      <c r="AX515">
        <f t="shared" si="90"/>
        <v>0</v>
      </c>
      <c r="AY515">
        <f t="shared" si="91"/>
        <v>0</v>
      </c>
    </row>
    <row r="516" spans="38:51" x14ac:dyDescent="0.35">
      <c r="AL516" s="19" t="s">
        <v>291</v>
      </c>
      <c r="AM516">
        <f t="shared" si="79"/>
        <v>0</v>
      </c>
      <c r="AN516">
        <f t="shared" si="80"/>
        <v>0</v>
      </c>
      <c r="AO516">
        <f t="shared" si="81"/>
        <v>0</v>
      </c>
      <c r="AP516">
        <f t="shared" si="82"/>
        <v>0</v>
      </c>
      <c r="AQ516">
        <f t="shared" si="83"/>
        <v>0</v>
      </c>
      <c r="AR516">
        <f t="shared" si="84"/>
        <v>0</v>
      </c>
      <c r="AS516">
        <f t="shared" si="85"/>
        <v>0</v>
      </c>
      <c r="AT516">
        <f t="shared" si="86"/>
        <v>0</v>
      </c>
      <c r="AU516">
        <f t="shared" si="87"/>
        <v>0</v>
      </c>
      <c r="AV516">
        <f t="shared" si="88"/>
        <v>0</v>
      </c>
      <c r="AW516">
        <f t="shared" si="89"/>
        <v>0</v>
      </c>
      <c r="AX516">
        <f t="shared" si="90"/>
        <v>0</v>
      </c>
      <c r="AY516">
        <f t="shared" si="91"/>
        <v>0</v>
      </c>
    </row>
    <row r="517" spans="38:51" x14ac:dyDescent="0.35">
      <c r="AL517" s="19" t="s">
        <v>136</v>
      </c>
      <c r="AM517">
        <f t="shared" si="79"/>
        <v>0</v>
      </c>
      <c r="AN517">
        <f t="shared" si="80"/>
        <v>0</v>
      </c>
      <c r="AO517">
        <f t="shared" si="81"/>
        <v>0</v>
      </c>
      <c r="AP517">
        <f t="shared" si="82"/>
        <v>0</v>
      </c>
      <c r="AQ517">
        <f t="shared" si="83"/>
        <v>0</v>
      </c>
      <c r="AR517">
        <f t="shared" si="84"/>
        <v>0</v>
      </c>
      <c r="AS517">
        <f t="shared" si="85"/>
        <v>0</v>
      </c>
      <c r="AT517">
        <f t="shared" si="86"/>
        <v>0</v>
      </c>
      <c r="AU517">
        <f t="shared" si="87"/>
        <v>0</v>
      </c>
      <c r="AV517">
        <f t="shared" si="88"/>
        <v>0</v>
      </c>
      <c r="AW517">
        <f t="shared" si="89"/>
        <v>0</v>
      </c>
      <c r="AX517">
        <f t="shared" si="90"/>
        <v>0</v>
      </c>
      <c r="AY517">
        <f t="shared" si="91"/>
        <v>0</v>
      </c>
    </row>
    <row r="518" spans="38:51" x14ac:dyDescent="0.35">
      <c r="AL518" s="19" t="s">
        <v>281</v>
      </c>
      <c r="AM518">
        <f t="shared" si="79"/>
        <v>0</v>
      </c>
      <c r="AN518">
        <f t="shared" si="80"/>
        <v>0</v>
      </c>
      <c r="AO518">
        <f t="shared" si="81"/>
        <v>0</v>
      </c>
      <c r="AP518">
        <f t="shared" si="82"/>
        <v>0</v>
      </c>
      <c r="AQ518">
        <f t="shared" si="83"/>
        <v>0</v>
      </c>
      <c r="AR518">
        <f t="shared" si="84"/>
        <v>0</v>
      </c>
      <c r="AS518">
        <f t="shared" si="85"/>
        <v>0</v>
      </c>
      <c r="AT518">
        <f t="shared" si="86"/>
        <v>0</v>
      </c>
      <c r="AU518">
        <f t="shared" si="87"/>
        <v>0</v>
      </c>
      <c r="AV518">
        <f t="shared" si="88"/>
        <v>0</v>
      </c>
      <c r="AW518">
        <f t="shared" si="89"/>
        <v>0</v>
      </c>
      <c r="AX518">
        <f t="shared" si="90"/>
        <v>0</v>
      </c>
      <c r="AY518">
        <f t="shared" si="91"/>
        <v>0</v>
      </c>
    </row>
    <row r="519" spans="38:51" x14ac:dyDescent="0.35">
      <c r="AL519" s="19" t="s">
        <v>137</v>
      </c>
      <c r="AM519">
        <f t="shared" si="79"/>
        <v>0</v>
      </c>
      <c r="AN519">
        <f t="shared" si="80"/>
        <v>0</v>
      </c>
      <c r="AO519">
        <f t="shared" si="81"/>
        <v>0</v>
      </c>
      <c r="AP519">
        <f t="shared" si="82"/>
        <v>0</v>
      </c>
      <c r="AQ519">
        <f t="shared" si="83"/>
        <v>0</v>
      </c>
      <c r="AR519">
        <f t="shared" si="84"/>
        <v>0</v>
      </c>
      <c r="AS519">
        <f t="shared" si="85"/>
        <v>0</v>
      </c>
      <c r="AT519">
        <f t="shared" si="86"/>
        <v>0</v>
      </c>
      <c r="AU519">
        <f t="shared" si="87"/>
        <v>0</v>
      </c>
      <c r="AV519">
        <f t="shared" si="88"/>
        <v>0</v>
      </c>
      <c r="AW519">
        <f t="shared" si="89"/>
        <v>0</v>
      </c>
      <c r="AX519">
        <f t="shared" si="90"/>
        <v>0</v>
      </c>
      <c r="AY519">
        <f t="shared" si="91"/>
        <v>0</v>
      </c>
    </row>
    <row r="520" spans="38:51" x14ac:dyDescent="0.35">
      <c r="AL520" s="19" t="s">
        <v>138</v>
      </c>
      <c r="AM520">
        <f t="shared" si="79"/>
        <v>0</v>
      </c>
      <c r="AN520">
        <f t="shared" si="80"/>
        <v>0</v>
      </c>
      <c r="AO520">
        <f t="shared" si="81"/>
        <v>0</v>
      </c>
      <c r="AP520">
        <f t="shared" si="82"/>
        <v>0</v>
      </c>
      <c r="AQ520">
        <f t="shared" si="83"/>
        <v>0</v>
      </c>
      <c r="AR520">
        <f t="shared" si="84"/>
        <v>0</v>
      </c>
      <c r="AS520">
        <f t="shared" si="85"/>
        <v>0</v>
      </c>
      <c r="AT520">
        <f t="shared" si="86"/>
        <v>0</v>
      </c>
      <c r="AU520">
        <f t="shared" si="87"/>
        <v>0</v>
      </c>
      <c r="AV520">
        <f t="shared" si="88"/>
        <v>0</v>
      </c>
      <c r="AW520">
        <f t="shared" si="89"/>
        <v>0</v>
      </c>
      <c r="AX520">
        <f t="shared" si="90"/>
        <v>0</v>
      </c>
      <c r="AY520">
        <f t="shared" si="91"/>
        <v>0</v>
      </c>
    </row>
    <row r="521" spans="38:51" x14ac:dyDescent="0.35">
      <c r="AL521" s="19" t="s">
        <v>139</v>
      </c>
      <c r="AM521">
        <f t="shared" si="79"/>
        <v>0</v>
      </c>
      <c r="AN521">
        <f t="shared" si="80"/>
        <v>0</v>
      </c>
      <c r="AO521">
        <f t="shared" si="81"/>
        <v>0</v>
      </c>
      <c r="AP521">
        <f t="shared" si="82"/>
        <v>0</v>
      </c>
      <c r="AQ521">
        <f t="shared" si="83"/>
        <v>0</v>
      </c>
      <c r="AR521">
        <f t="shared" si="84"/>
        <v>0</v>
      </c>
      <c r="AS521">
        <f t="shared" si="85"/>
        <v>0</v>
      </c>
      <c r="AT521">
        <f t="shared" si="86"/>
        <v>0</v>
      </c>
      <c r="AU521">
        <f t="shared" si="87"/>
        <v>0</v>
      </c>
      <c r="AV521">
        <f t="shared" si="88"/>
        <v>0</v>
      </c>
      <c r="AW521">
        <f t="shared" si="89"/>
        <v>0</v>
      </c>
      <c r="AX521">
        <f t="shared" si="90"/>
        <v>0</v>
      </c>
      <c r="AY521">
        <f t="shared" si="91"/>
        <v>0</v>
      </c>
    </row>
    <row r="522" spans="38:51" x14ac:dyDescent="0.35">
      <c r="AL522" s="19" t="s">
        <v>140</v>
      </c>
      <c r="AM522">
        <f t="shared" si="79"/>
        <v>0</v>
      </c>
      <c r="AN522">
        <f t="shared" si="80"/>
        <v>0</v>
      </c>
      <c r="AO522">
        <f t="shared" si="81"/>
        <v>0</v>
      </c>
      <c r="AP522">
        <f t="shared" si="82"/>
        <v>0</v>
      </c>
      <c r="AQ522">
        <f t="shared" si="83"/>
        <v>0</v>
      </c>
      <c r="AR522">
        <f t="shared" si="84"/>
        <v>0</v>
      </c>
      <c r="AS522">
        <f t="shared" si="85"/>
        <v>0</v>
      </c>
      <c r="AT522">
        <f t="shared" si="86"/>
        <v>0</v>
      </c>
      <c r="AU522">
        <f t="shared" si="87"/>
        <v>0</v>
      </c>
      <c r="AV522">
        <f t="shared" si="88"/>
        <v>0</v>
      </c>
      <c r="AW522">
        <f t="shared" si="89"/>
        <v>0</v>
      </c>
      <c r="AX522">
        <f t="shared" si="90"/>
        <v>0</v>
      </c>
      <c r="AY522">
        <f t="shared" si="91"/>
        <v>0</v>
      </c>
    </row>
    <row r="523" spans="38:51" x14ac:dyDescent="0.35">
      <c r="AL523" s="19" t="s">
        <v>141</v>
      </c>
      <c r="AM523">
        <f t="shared" si="79"/>
        <v>0</v>
      </c>
      <c r="AN523">
        <f t="shared" si="80"/>
        <v>0</v>
      </c>
      <c r="AO523">
        <f t="shared" si="81"/>
        <v>0</v>
      </c>
      <c r="AP523">
        <f t="shared" si="82"/>
        <v>0</v>
      </c>
      <c r="AQ523">
        <f t="shared" si="83"/>
        <v>0</v>
      </c>
      <c r="AR523">
        <f t="shared" si="84"/>
        <v>0</v>
      </c>
      <c r="AS523">
        <f t="shared" si="85"/>
        <v>0</v>
      </c>
      <c r="AT523">
        <f t="shared" si="86"/>
        <v>0</v>
      </c>
      <c r="AU523">
        <f t="shared" si="87"/>
        <v>0</v>
      </c>
      <c r="AV523">
        <f t="shared" si="88"/>
        <v>0</v>
      </c>
      <c r="AW523">
        <f t="shared" si="89"/>
        <v>0</v>
      </c>
      <c r="AX523">
        <f t="shared" si="90"/>
        <v>0</v>
      </c>
      <c r="AY523">
        <f t="shared" si="91"/>
        <v>0</v>
      </c>
    </row>
    <row r="524" spans="38:51" x14ac:dyDescent="0.35">
      <c r="AL524" s="19" t="s">
        <v>142</v>
      </c>
      <c r="AM524">
        <f t="shared" si="79"/>
        <v>0</v>
      </c>
      <c r="AN524">
        <f t="shared" si="80"/>
        <v>0</v>
      </c>
      <c r="AO524">
        <f t="shared" si="81"/>
        <v>0</v>
      </c>
      <c r="AP524">
        <f t="shared" si="82"/>
        <v>0</v>
      </c>
      <c r="AQ524">
        <f t="shared" si="83"/>
        <v>0</v>
      </c>
      <c r="AR524">
        <f t="shared" si="84"/>
        <v>0</v>
      </c>
      <c r="AS524">
        <f t="shared" si="85"/>
        <v>0</v>
      </c>
      <c r="AT524">
        <f t="shared" si="86"/>
        <v>0</v>
      </c>
      <c r="AU524">
        <f t="shared" si="87"/>
        <v>1</v>
      </c>
      <c r="AV524">
        <f t="shared" si="88"/>
        <v>0</v>
      </c>
      <c r="AW524">
        <f t="shared" si="89"/>
        <v>0</v>
      </c>
      <c r="AX524">
        <f t="shared" si="90"/>
        <v>0</v>
      </c>
      <c r="AY524">
        <f t="shared" si="91"/>
        <v>0</v>
      </c>
    </row>
    <row r="525" spans="38:51" x14ac:dyDescent="0.35">
      <c r="AL525" s="19" t="s">
        <v>143</v>
      </c>
      <c r="AM525">
        <f t="shared" si="79"/>
        <v>0</v>
      </c>
      <c r="AN525">
        <f t="shared" si="80"/>
        <v>0</v>
      </c>
      <c r="AO525">
        <f t="shared" si="81"/>
        <v>0</v>
      </c>
      <c r="AP525">
        <f t="shared" si="82"/>
        <v>0</v>
      </c>
      <c r="AQ525">
        <f t="shared" si="83"/>
        <v>0</v>
      </c>
      <c r="AR525">
        <f t="shared" si="84"/>
        <v>0</v>
      </c>
      <c r="AS525">
        <f t="shared" si="85"/>
        <v>0</v>
      </c>
      <c r="AT525">
        <f t="shared" si="86"/>
        <v>0</v>
      </c>
      <c r="AU525">
        <f t="shared" si="87"/>
        <v>0</v>
      </c>
      <c r="AV525">
        <f t="shared" si="88"/>
        <v>0</v>
      </c>
      <c r="AW525">
        <f t="shared" si="89"/>
        <v>0</v>
      </c>
      <c r="AX525">
        <f t="shared" si="90"/>
        <v>0</v>
      </c>
      <c r="AY525">
        <f t="shared" si="91"/>
        <v>0</v>
      </c>
    </row>
    <row r="526" spans="38:51" x14ac:dyDescent="0.35">
      <c r="AL526" s="19" t="s">
        <v>144</v>
      </c>
      <c r="AM526">
        <f t="shared" si="79"/>
        <v>0</v>
      </c>
      <c r="AN526">
        <f t="shared" si="80"/>
        <v>0</v>
      </c>
      <c r="AO526">
        <f t="shared" si="81"/>
        <v>0</v>
      </c>
      <c r="AP526">
        <f t="shared" si="82"/>
        <v>0</v>
      </c>
      <c r="AQ526">
        <f t="shared" si="83"/>
        <v>0</v>
      </c>
      <c r="AR526">
        <f t="shared" si="84"/>
        <v>0</v>
      </c>
      <c r="AS526">
        <f t="shared" si="85"/>
        <v>0</v>
      </c>
      <c r="AT526">
        <f t="shared" si="86"/>
        <v>0</v>
      </c>
      <c r="AU526">
        <f t="shared" si="87"/>
        <v>0</v>
      </c>
      <c r="AV526">
        <f t="shared" si="88"/>
        <v>0</v>
      </c>
      <c r="AW526">
        <f t="shared" si="89"/>
        <v>0</v>
      </c>
      <c r="AX526">
        <f t="shared" si="90"/>
        <v>0</v>
      </c>
      <c r="AY526">
        <f t="shared" si="91"/>
        <v>0</v>
      </c>
    </row>
    <row r="527" spans="38:51" x14ac:dyDescent="0.35">
      <c r="AL527" s="19" t="s">
        <v>145</v>
      </c>
      <c r="AM527">
        <f t="shared" si="79"/>
        <v>0</v>
      </c>
      <c r="AN527">
        <f t="shared" si="80"/>
        <v>0</v>
      </c>
      <c r="AO527">
        <f t="shared" si="81"/>
        <v>0</v>
      </c>
      <c r="AP527">
        <f t="shared" si="82"/>
        <v>0</v>
      </c>
      <c r="AQ527">
        <f t="shared" si="83"/>
        <v>0</v>
      </c>
      <c r="AR527">
        <f t="shared" si="84"/>
        <v>0</v>
      </c>
      <c r="AS527">
        <f t="shared" si="85"/>
        <v>0</v>
      </c>
      <c r="AT527">
        <f t="shared" si="86"/>
        <v>0</v>
      </c>
      <c r="AU527">
        <f t="shared" si="87"/>
        <v>0</v>
      </c>
      <c r="AV527">
        <f t="shared" si="88"/>
        <v>0</v>
      </c>
      <c r="AW527">
        <f t="shared" si="89"/>
        <v>0</v>
      </c>
      <c r="AX527">
        <f t="shared" si="90"/>
        <v>0</v>
      </c>
      <c r="AY527">
        <f t="shared" si="91"/>
        <v>0</v>
      </c>
    </row>
    <row r="528" spans="38:51" x14ac:dyDescent="0.35">
      <c r="AL528" s="19" t="s">
        <v>146</v>
      </c>
      <c r="AM528">
        <f t="shared" si="79"/>
        <v>0</v>
      </c>
      <c r="AN528">
        <f t="shared" si="80"/>
        <v>0</v>
      </c>
      <c r="AO528">
        <f t="shared" si="81"/>
        <v>0</v>
      </c>
      <c r="AP528">
        <f t="shared" si="82"/>
        <v>0</v>
      </c>
      <c r="AQ528">
        <f t="shared" si="83"/>
        <v>0</v>
      </c>
      <c r="AR528">
        <f t="shared" si="84"/>
        <v>0</v>
      </c>
      <c r="AS528">
        <f t="shared" si="85"/>
        <v>0</v>
      </c>
      <c r="AT528">
        <f t="shared" si="86"/>
        <v>0</v>
      </c>
      <c r="AU528">
        <f t="shared" si="87"/>
        <v>0</v>
      </c>
      <c r="AV528">
        <f t="shared" si="88"/>
        <v>0</v>
      </c>
      <c r="AW528">
        <f t="shared" si="89"/>
        <v>0</v>
      </c>
      <c r="AX528">
        <f t="shared" si="90"/>
        <v>0</v>
      </c>
      <c r="AY528">
        <f t="shared" si="91"/>
        <v>0</v>
      </c>
    </row>
    <row r="529" spans="38:51" x14ac:dyDescent="0.35">
      <c r="AL529" s="19" t="s">
        <v>147</v>
      </c>
      <c r="AM529">
        <f t="shared" si="79"/>
        <v>0</v>
      </c>
      <c r="AN529">
        <f t="shared" si="80"/>
        <v>1</v>
      </c>
      <c r="AO529">
        <f t="shared" si="81"/>
        <v>0</v>
      </c>
      <c r="AP529">
        <f t="shared" si="82"/>
        <v>0</v>
      </c>
      <c r="AQ529">
        <f t="shared" si="83"/>
        <v>0</v>
      </c>
      <c r="AR529">
        <f t="shared" si="84"/>
        <v>0</v>
      </c>
      <c r="AS529">
        <f t="shared" si="85"/>
        <v>0</v>
      </c>
      <c r="AT529">
        <f t="shared" si="86"/>
        <v>0</v>
      </c>
      <c r="AU529">
        <f t="shared" si="87"/>
        <v>0</v>
      </c>
      <c r="AV529">
        <f t="shared" si="88"/>
        <v>0</v>
      </c>
      <c r="AW529">
        <f t="shared" si="89"/>
        <v>0</v>
      </c>
      <c r="AX529">
        <f t="shared" si="90"/>
        <v>0</v>
      </c>
      <c r="AY529">
        <f t="shared" si="91"/>
        <v>0</v>
      </c>
    </row>
    <row r="530" spans="38:51" x14ac:dyDescent="0.35">
      <c r="AL530" s="19" t="s">
        <v>257</v>
      </c>
      <c r="AM530">
        <f t="shared" si="79"/>
        <v>0</v>
      </c>
      <c r="AN530">
        <f t="shared" si="80"/>
        <v>0</v>
      </c>
      <c r="AO530">
        <f t="shared" si="81"/>
        <v>0</v>
      </c>
      <c r="AP530">
        <f t="shared" si="82"/>
        <v>0</v>
      </c>
      <c r="AQ530">
        <f t="shared" si="83"/>
        <v>0</v>
      </c>
      <c r="AR530">
        <f t="shared" si="84"/>
        <v>0</v>
      </c>
      <c r="AS530">
        <f t="shared" si="85"/>
        <v>0</v>
      </c>
      <c r="AT530">
        <f t="shared" si="86"/>
        <v>0</v>
      </c>
      <c r="AU530">
        <f t="shared" si="87"/>
        <v>0</v>
      </c>
      <c r="AV530">
        <f t="shared" si="88"/>
        <v>0</v>
      </c>
      <c r="AW530">
        <f t="shared" si="89"/>
        <v>0</v>
      </c>
      <c r="AX530">
        <f t="shared" si="90"/>
        <v>0</v>
      </c>
      <c r="AY530">
        <f t="shared" si="91"/>
        <v>0</v>
      </c>
    </row>
    <row r="531" spans="38:51" x14ac:dyDescent="0.35">
      <c r="AL531" s="19" t="s">
        <v>148</v>
      </c>
      <c r="AM531">
        <f t="shared" si="79"/>
        <v>0</v>
      </c>
      <c r="AN531">
        <f t="shared" si="80"/>
        <v>0</v>
      </c>
      <c r="AO531">
        <f t="shared" si="81"/>
        <v>0</v>
      </c>
      <c r="AP531">
        <f t="shared" si="82"/>
        <v>0</v>
      </c>
      <c r="AQ531">
        <f t="shared" si="83"/>
        <v>0</v>
      </c>
      <c r="AR531">
        <f t="shared" si="84"/>
        <v>0</v>
      </c>
      <c r="AS531">
        <f t="shared" si="85"/>
        <v>0</v>
      </c>
      <c r="AT531">
        <f t="shared" si="86"/>
        <v>0</v>
      </c>
      <c r="AU531">
        <f t="shared" si="87"/>
        <v>0</v>
      </c>
      <c r="AV531">
        <f t="shared" si="88"/>
        <v>0</v>
      </c>
      <c r="AW531">
        <f t="shared" si="89"/>
        <v>0</v>
      </c>
      <c r="AX531">
        <f t="shared" si="90"/>
        <v>0</v>
      </c>
      <c r="AY531">
        <f t="shared" si="91"/>
        <v>0</v>
      </c>
    </row>
    <row r="532" spans="38:51" x14ac:dyDescent="0.35">
      <c r="AL532" s="19" t="s">
        <v>149</v>
      </c>
      <c r="AM532">
        <f t="shared" si="79"/>
        <v>0</v>
      </c>
      <c r="AN532">
        <f t="shared" si="80"/>
        <v>0</v>
      </c>
      <c r="AO532">
        <f t="shared" si="81"/>
        <v>0</v>
      </c>
      <c r="AP532">
        <f t="shared" si="82"/>
        <v>0</v>
      </c>
      <c r="AQ532">
        <f t="shared" si="83"/>
        <v>0</v>
      </c>
      <c r="AR532">
        <f t="shared" si="84"/>
        <v>0</v>
      </c>
      <c r="AS532">
        <f t="shared" si="85"/>
        <v>0</v>
      </c>
      <c r="AT532">
        <f t="shared" si="86"/>
        <v>0</v>
      </c>
      <c r="AU532">
        <f t="shared" si="87"/>
        <v>0</v>
      </c>
      <c r="AV532">
        <f t="shared" si="88"/>
        <v>0</v>
      </c>
      <c r="AW532">
        <f t="shared" si="89"/>
        <v>0</v>
      </c>
      <c r="AX532">
        <f t="shared" si="90"/>
        <v>0</v>
      </c>
      <c r="AY532">
        <f t="shared" si="91"/>
        <v>0</v>
      </c>
    </row>
    <row r="533" spans="38:51" x14ac:dyDescent="0.35">
      <c r="AL533" s="19" t="s">
        <v>150</v>
      </c>
      <c r="AM533">
        <f t="shared" si="79"/>
        <v>0</v>
      </c>
      <c r="AN533">
        <f t="shared" si="80"/>
        <v>0</v>
      </c>
      <c r="AO533">
        <f t="shared" si="81"/>
        <v>0</v>
      </c>
      <c r="AP533">
        <f t="shared" si="82"/>
        <v>0</v>
      </c>
      <c r="AQ533">
        <f t="shared" si="83"/>
        <v>0</v>
      </c>
      <c r="AR533">
        <f t="shared" si="84"/>
        <v>0</v>
      </c>
      <c r="AS533">
        <f t="shared" si="85"/>
        <v>0</v>
      </c>
      <c r="AT533">
        <f t="shared" si="86"/>
        <v>0</v>
      </c>
      <c r="AU533">
        <f t="shared" si="87"/>
        <v>0</v>
      </c>
      <c r="AV533">
        <f t="shared" si="88"/>
        <v>0</v>
      </c>
      <c r="AW533">
        <f t="shared" si="89"/>
        <v>0</v>
      </c>
      <c r="AX533">
        <f t="shared" si="90"/>
        <v>0</v>
      </c>
      <c r="AY533">
        <f t="shared" si="91"/>
        <v>0</v>
      </c>
    </row>
    <row r="534" spans="38:51" x14ac:dyDescent="0.35">
      <c r="AL534" s="19" t="s">
        <v>151</v>
      </c>
      <c r="AM534">
        <f t="shared" si="79"/>
        <v>0</v>
      </c>
      <c r="AN534">
        <f t="shared" si="80"/>
        <v>0</v>
      </c>
      <c r="AO534">
        <f t="shared" si="81"/>
        <v>0</v>
      </c>
      <c r="AP534">
        <f t="shared" si="82"/>
        <v>0</v>
      </c>
      <c r="AQ534">
        <f t="shared" si="83"/>
        <v>0</v>
      </c>
      <c r="AR534">
        <f t="shared" si="84"/>
        <v>0</v>
      </c>
      <c r="AS534">
        <f t="shared" si="85"/>
        <v>0</v>
      </c>
      <c r="AT534">
        <f t="shared" si="86"/>
        <v>0</v>
      </c>
      <c r="AU534">
        <f t="shared" si="87"/>
        <v>0</v>
      </c>
      <c r="AV534">
        <f t="shared" si="88"/>
        <v>0</v>
      </c>
      <c r="AW534">
        <f t="shared" si="89"/>
        <v>0</v>
      </c>
      <c r="AX534">
        <f t="shared" si="90"/>
        <v>0</v>
      </c>
      <c r="AY534">
        <f t="shared" si="91"/>
        <v>0</v>
      </c>
    </row>
    <row r="535" spans="38:51" x14ac:dyDescent="0.35">
      <c r="AL535" s="19" t="s">
        <v>152</v>
      </c>
      <c r="AM535">
        <f t="shared" si="79"/>
        <v>0</v>
      </c>
      <c r="AN535">
        <f t="shared" si="80"/>
        <v>0</v>
      </c>
      <c r="AO535">
        <f t="shared" si="81"/>
        <v>0</v>
      </c>
      <c r="AP535">
        <f t="shared" si="82"/>
        <v>0</v>
      </c>
      <c r="AQ535">
        <f t="shared" si="83"/>
        <v>0</v>
      </c>
      <c r="AR535">
        <f t="shared" si="84"/>
        <v>0</v>
      </c>
      <c r="AS535">
        <f t="shared" si="85"/>
        <v>0</v>
      </c>
      <c r="AT535">
        <f t="shared" si="86"/>
        <v>0</v>
      </c>
      <c r="AU535">
        <f t="shared" si="87"/>
        <v>0</v>
      </c>
      <c r="AV535">
        <f t="shared" si="88"/>
        <v>0</v>
      </c>
      <c r="AW535">
        <f t="shared" si="89"/>
        <v>0</v>
      </c>
      <c r="AX535">
        <f t="shared" si="90"/>
        <v>0</v>
      </c>
      <c r="AY535">
        <f t="shared" si="91"/>
        <v>0</v>
      </c>
    </row>
    <row r="536" spans="38:51" x14ac:dyDescent="0.35">
      <c r="AL536" s="19" t="s">
        <v>153</v>
      </c>
      <c r="AM536">
        <f t="shared" si="79"/>
        <v>0</v>
      </c>
      <c r="AN536">
        <f t="shared" si="80"/>
        <v>0</v>
      </c>
      <c r="AO536">
        <f t="shared" si="81"/>
        <v>0</v>
      </c>
      <c r="AP536">
        <f t="shared" si="82"/>
        <v>0</v>
      </c>
      <c r="AQ536">
        <f t="shared" si="83"/>
        <v>0</v>
      </c>
      <c r="AR536">
        <f t="shared" si="84"/>
        <v>0</v>
      </c>
      <c r="AS536">
        <f t="shared" si="85"/>
        <v>0</v>
      </c>
      <c r="AT536">
        <f t="shared" si="86"/>
        <v>0</v>
      </c>
      <c r="AU536">
        <f t="shared" si="87"/>
        <v>0</v>
      </c>
      <c r="AV536">
        <f t="shared" si="88"/>
        <v>0</v>
      </c>
      <c r="AW536">
        <f t="shared" si="89"/>
        <v>0</v>
      </c>
      <c r="AX536">
        <f t="shared" si="90"/>
        <v>0</v>
      </c>
      <c r="AY536">
        <f t="shared" si="91"/>
        <v>0</v>
      </c>
    </row>
    <row r="537" spans="38:51" x14ac:dyDescent="0.35">
      <c r="AL537" s="19" t="s">
        <v>154</v>
      </c>
      <c r="AM537">
        <f t="shared" si="79"/>
        <v>0</v>
      </c>
      <c r="AN537">
        <f t="shared" si="80"/>
        <v>0</v>
      </c>
      <c r="AO537">
        <f t="shared" si="81"/>
        <v>0</v>
      </c>
      <c r="AP537">
        <f t="shared" si="82"/>
        <v>0</v>
      </c>
      <c r="AQ537">
        <f t="shared" si="83"/>
        <v>0</v>
      </c>
      <c r="AR537">
        <f t="shared" si="84"/>
        <v>0</v>
      </c>
      <c r="AS537">
        <f t="shared" si="85"/>
        <v>0</v>
      </c>
      <c r="AT537">
        <f t="shared" si="86"/>
        <v>0</v>
      </c>
      <c r="AU537">
        <f t="shared" si="87"/>
        <v>0</v>
      </c>
      <c r="AV537">
        <f t="shared" si="88"/>
        <v>0</v>
      </c>
      <c r="AW537">
        <f t="shared" si="89"/>
        <v>0</v>
      </c>
      <c r="AX537">
        <f t="shared" si="90"/>
        <v>0</v>
      </c>
      <c r="AY537">
        <f t="shared" si="91"/>
        <v>0</v>
      </c>
    </row>
    <row r="538" spans="38:51" x14ac:dyDescent="0.35">
      <c r="AL538" s="19" t="s">
        <v>287</v>
      </c>
      <c r="AM538">
        <f t="shared" si="79"/>
        <v>0</v>
      </c>
      <c r="AN538">
        <f t="shared" si="80"/>
        <v>0</v>
      </c>
      <c r="AO538">
        <f t="shared" si="81"/>
        <v>0</v>
      </c>
      <c r="AP538">
        <f t="shared" si="82"/>
        <v>0</v>
      </c>
      <c r="AQ538">
        <f t="shared" si="83"/>
        <v>0</v>
      </c>
      <c r="AR538">
        <f t="shared" si="84"/>
        <v>0</v>
      </c>
      <c r="AS538">
        <f t="shared" si="85"/>
        <v>0</v>
      </c>
      <c r="AT538">
        <f t="shared" si="86"/>
        <v>0</v>
      </c>
      <c r="AU538">
        <f t="shared" si="87"/>
        <v>0</v>
      </c>
      <c r="AV538">
        <f t="shared" si="88"/>
        <v>0</v>
      </c>
      <c r="AW538">
        <f t="shared" si="89"/>
        <v>0</v>
      </c>
      <c r="AX538">
        <f t="shared" si="90"/>
        <v>0</v>
      </c>
      <c r="AY538">
        <f t="shared" si="91"/>
        <v>0</v>
      </c>
    </row>
    <row r="539" spans="38:51" x14ac:dyDescent="0.35">
      <c r="AL539" s="19" t="s">
        <v>155</v>
      </c>
      <c r="AM539">
        <f t="shared" si="79"/>
        <v>0</v>
      </c>
      <c r="AN539">
        <f t="shared" si="80"/>
        <v>0</v>
      </c>
      <c r="AO539">
        <f t="shared" si="81"/>
        <v>0</v>
      </c>
      <c r="AP539">
        <f t="shared" si="82"/>
        <v>0</v>
      </c>
      <c r="AQ539">
        <f t="shared" si="83"/>
        <v>0</v>
      </c>
      <c r="AR539">
        <f t="shared" si="84"/>
        <v>0</v>
      </c>
      <c r="AS539">
        <f t="shared" si="85"/>
        <v>0</v>
      </c>
      <c r="AT539">
        <f t="shared" si="86"/>
        <v>0</v>
      </c>
      <c r="AU539">
        <f t="shared" si="87"/>
        <v>0</v>
      </c>
      <c r="AV539">
        <f t="shared" si="88"/>
        <v>0</v>
      </c>
      <c r="AW539">
        <f t="shared" si="89"/>
        <v>0</v>
      </c>
      <c r="AX539">
        <f t="shared" si="90"/>
        <v>0</v>
      </c>
      <c r="AY539">
        <f t="shared" si="91"/>
        <v>0</v>
      </c>
    </row>
    <row r="540" spans="38:51" x14ac:dyDescent="0.35">
      <c r="AL540" s="19" t="s">
        <v>292</v>
      </c>
      <c r="AM540">
        <f t="shared" si="79"/>
        <v>0</v>
      </c>
      <c r="AN540">
        <f t="shared" si="80"/>
        <v>0</v>
      </c>
      <c r="AO540">
        <f t="shared" si="81"/>
        <v>0</v>
      </c>
      <c r="AP540">
        <f t="shared" si="82"/>
        <v>0</v>
      </c>
      <c r="AQ540">
        <f t="shared" si="83"/>
        <v>0</v>
      </c>
      <c r="AR540">
        <f t="shared" si="84"/>
        <v>0</v>
      </c>
      <c r="AS540">
        <f t="shared" si="85"/>
        <v>0</v>
      </c>
      <c r="AT540">
        <f t="shared" si="86"/>
        <v>0</v>
      </c>
      <c r="AU540">
        <f t="shared" si="87"/>
        <v>0</v>
      </c>
      <c r="AV540">
        <f t="shared" si="88"/>
        <v>0</v>
      </c>
      <c r="AW540">
        <f t="shared" si="89"/>
        <v>0</v>
      </c>
      <c r="AX540">
        <f t="shared" si="90"/>
        <v>0</v>
      </c>
      <c r="AY540">
        <f t="shared" si="91"/>
        <v>0</v>
      </c>
    </row>
    <row r="541" spans="38:51" x14ac:dyDescent="0.35">
      <c r="AL541" s="19" t="s">
        <v>219</v>
      </c>
      <c r="AM541">
        <f t="shared" si="79"/>
        <v>0</v>
      </c>
      <c r="AN541">
        <f t="shared" si="80"/>
        <v>0</v>
      </c>
      <c r="AO541">
        <f t="shared" si="81"/>
        <v>0</v>
      </c>
      <c r="AP541">
        <f t="shared" si="82"/>
        <v>0</v>
      </c>
      <c r="AQ541">
        <f t="shared" si="83"/>
        <v>0</v>
      </c>
      <c r="AR541">
        <f t="shared" si="84"/>
        <v>0</v>
      </c>
      <c r="AS541">
        <f t="shared" si="85"/>
        <v>0</v>
      </c>
      <c r="AT541">
        <f t="shared" si="86"/>
        <v>0</v>
      </c>
      <c r="AU541">
        <f t="shared" si="87"/>
        <v>0</v>
      </c>
      <c r="AV541">
        <f t="shared" si="88"/>
        <v>0</v>
      </c>
      <c r="AW541">
        <f t="shared" si="89"/>
        <v>0</v>
      </c>
      <c r="AX541">
        <f t="shared" si="90"/>
        <v>0</v>
      </c>
      <c r="AY541">
        <f t="shared" si="91"/>
        <v>0</v>
      </c>
    </row>
    <row r="542" spans="38:51" x14ac:dyDescent="0.35">
      <c r="AL542" s="19" t="s">
        <v>156</v>
      </c>
      <c r="AM542">
        <f t="shared" si="79"/>
        <v>0</v>
      </c>
      <c r="AN542">
        <f t="shared" si="80"/>
        <v>0</v>
      </c>
      <c r="AO542">
        <f t="shared" si="81"/>
        <v>0</v>
      </c>
      <c r="AP542">
        <f t="shared" si="82"/>
        <v>0</v>
      </c>
      <c r="AQ542">
        <f t="shared" si="83"/>
        <v>0</v>
      </c>
      <c r="AR542">
        <f t="shared" si="84"/>
        <v>0</v>
      </c>
      <c r="AS542">
        <f t="shared" si="85"/>
        <v>0</v>
      </c>
      <c r="AT542">
        <f t="shared" si="86"/>
        <v>0</v>
      </c>
      <c r="AU542">
        <f t="shared" si="87"/>
        <v>0</v>
      </c>
      <c r="AV542">
        <f t="shared" si="88"/>
        <v>0</v>
      </c>
      <c r="AW542">
        <f t="shared" si="89"/>
        <v>0</v>
      </c>
      <c r="AX542">
        <f t="shared" si="90"/>
        <v>0</v>
      </c>
      <c r="AY542">
        <f t="shared" si="91"/>
        <v>0</v>
      </c>
    </row>
    <row r="543" spans="38:51" x14ac:dyDescent="0.35">
      <c r="AL543" s="19" t="s">
        <v>157</v>
      </c>
      <c r="AM543">
        <f t="shared" si="79"/>
        <v>0</v>
      </c>
      <c r="AN543">
        <f t="shared" si="80"/>
        <v>0</v>
      </c>
      <c r="AO543">
        <f t="shared" si="81"/>
        <v>0</v>
      </c>
      <c r="AP543">
        <f t="shared" si="82"/>
        <v>0</v>
      </c>
      <c r="AQ543">
        <f t="shared" si="83"/>
        <v>0</v>
      </c>
      <c r="AR543">
        <f t="shared" si="84"/>
        <v>0</v>
      </c>
      <c r="AS543">
        <f t="shared" si="85"/>
        <v>0</v>
      </c>
      <c r="AT543">
        <f t="shared" si="86"/>
        <v>0</v>
      </c>
      <c r="AU543">
        <f t="shared" si="87"/>
        <v>0</v>
      </c>
      <c r="AV543">
        <f t="shared" si="88"/>
        <v>0</v>
      </c>
      <c r="AW543">
        <f t="shared" si="89"/>
        <v>0</v>
      </c>
      <c r="AX543">
        <f t="shared" si="90"/>
        <v>0</v>
      </c>
      <c r="AY543">
        <f t="shared" si="91"/>
        <v>0</v>
      </c>
    </row>
    <row r="544" spans="38:51" x14ac:dyDescent="0.35">
      <c r="AL544" s="19" t="s">
        <v>158</v>
      </c>
      <c r="AM544">
        <f t="shared" si="79"/>
        <v>0</v>
      </c>
      <c r="AN544">
        <f t="shared" si="80"/>
        <v>0</v>
      </c>
      <c r="AO544">
        <f t="shared" si="81"/>
        <v>0</v>
      </c>
      <c r="AP544">
        <f t="shared" si="82"/>
        <v>0</v>
      </c>
      <c r="AQ544">
        <f t="shared" si="83"/>
        <v>0</v>
      </c>
      <c r="AR544">
        <f t="shared" si="84"/>
        <v>0</v>
      </c>
      <c r="AS544">
        <f t="shared" si="85"/>
        <v>0</v>
      </c>
      <c r="AT544">
        <f t="shared" si="86"/>
        <v>0</v>
      </c>
      <c r="AU544">
        <f t="shared" si="87"/>
        <v>0</v>
      </c>
      <c r="AV544">
        <f t="shared" si="88"/>
        <v>0</v>
      </c>
      <c r="AW544">
        <f t="shared" si="89"/>
        <v>0</v>
      </c>
      <c r="AX544">
        <f t="shared" si="90"/>
        <v>0</v>
      </c>
      <c r="AY544">
        <f t="shared" si="91"/>
        <v>0</v>
      </c>
    </row>
    <row r="545" spans="38:51" x14ac:dyDescent="0.35">
      <c r="AL545" s="19" t="s">
        <v>216</v>
      </c>
      <c r="AM545">
        <f t="shared" si="79"/>
        <v>0</v>
      </c>
      <c r="AN545">
        <f t="shared" si="80"/>
        <v>0</v>
      </c>
      <c r="AO545">
        <f t="shared" si="81"/>
        <v>0</v>
      </c>
      <c r="AP545">
        <f t="shared" si="82"/>
        <v>0</v>
      </c>
      <c r="AQ545">
        <f t="shared" si="83"/>
        <v>0</v>
      </c>
      <c r="AR545">
        <f t="shared" si="84"/>
        <v>0</v>
      </c>
      <c r="AS545">
        <f t="shared" si="85"/>
        <v>0</v>
      </c>
      <c r="AT545">
        <f t="shared" si="86"/>
        <v>0</v>
      </c>
      <c r="AU545">
        <f t="shared" si="87"/>
        <v>0</v>
      </c>
      <c r="AV545">
        <f t="shared" si="88"/>
        <v>0</v>
      </c>
      <c r="AW545">
        <f t="shared" si="89"/>
        <v>0</v>
      </c>
      <c r="AX545">
        <f t="shared" si="90"/>
        <v>0</v>
      </c>
      <c r="AY545">
        <f t="shared" si="91"/>
        <v>0</v>
      </c>
    </row>
    <row r="546" spans="38:51" x14ac:dyDescent="0.35">
      <c r="AL546" s="19" t="s">
        <v>337</v>
      </c>
      <c r="AM546">
        <f t="shared" si="79"/>
        <v>0</v>
      </c>
      <c r="AN546">
        <f t="shared" si="80"/>
        <v>0</v>
      </c>
      <c r="AO546">
        <f t="shared" si="81"/>
        <v>0</v>
      </c>
      <c r="AP546">
        <f t="shared" si="82"/>
        <v>0</v>
      </c>
      <c r="AQ546">
        <f t="shared" si="83"/>
        <v>0</v>
      </c>
      <c r="AR546">
        <f t="shared" si="84"/>
        <v>0</v>
      </c>
      <c r="AS546">
        <f t="shared" si="85"/>
        <v>0</v>
      </c>
      <c r="AT546">
        <f t="shared" si="86"/>
        <v>0</v>
      </c>
      <c r="AU546">
        <f t="shared" si="87"/>
        <v>0</v>
      </c>
      <c r="AV546">
        <f t="shared" si="88"/>
        <v>0</v>
      </c>
      <c r="AW546">
        <f t="shared" si="89"/>
        <v>0</v>
      </c>
      <c r="AX546">
        <f t="shared" si="90"/>
        <v>0</v>
      </c>
      <c r="AY546">
        <f t="shared" si="91"/>
        <v>0</v>
      </c>
    </row>
    <row r="547" spans="38:51" x14ac:dyDescent="0.35">
      <c r="AL547" s="19" t="s">
        <v>159</v>
      </c>
      <c r="AM547">
        <f t="shared" si="79"/>
        <v>0</v>
      </c>
      <c r="AN547">
        <f t="shared" si="80"/>
        <v>0</v>
      </c>
      <c r="AO547">
        <f t="shared" si="81"/>
        <v>0</v>
      </c>
      <c r="AP547">
        <f t="shared" si="82"/>
        <v>0</v>
      </c>
      <c r="AQ547">
        <f t="shared" si="83"/>
        <v>0</v>
      </c>
      <c r="AR547">
        <f t="shared" si="84"/>
        <v>0</v>
      </c>
      <c r="AS547">
        <f t="shared" si="85"/>
        <v>0</v>
      </c>
      <c r="AT547">
        <f t="shared" si="86"/>
        <v>0</v>
      </c>
      <c r="AU547">
        <f t="shared" si="87"/>
        <v>0</v>
      </c>
      <c r="AV547">
        <f t="shared" si="88"/>
        <v>0</v>
      </c>
      <c r="AW547">
        <f t="shared" si="89"/>
        <v>0</v>
      </c>
      <c r="AX547">
        <f t="shared" si="90"/>
        <v>0</v>
      </c>
      <c r="AY547">
        <f t="shared" si="91"/>
        <v>0</v>
      </c>
    </row>
    <row r="548" spans="38:51" x14ac:dyDescent="0.35">
      <c r="AL548" s="19" t="s">
        <v>290</v>
      </c>
      <c r="AM548">
        <f t="shared" si="79"/>
        <v>0</v>
      </c>
      <c r="AN548">
        <f t="shared" si="80"/>
        <v>0</v>
      </c>
      <c r="AO548">
        <f t="shared" si="81"/>
        <v>0</v>
      </c>
      <c r="AP548">
        <f t="shared" si="82"/>
        <v>0</v>
      </c>
      <c r="AQ548">
        <f t="shared" si="83"/>
        <v>0</v>
      </c>
      <c r="AR548">
        <f t="shared" si="84"/>
        <v>0</v>
      </c>
      <c r="AS548">
        <f t="shared" si="85"/>
        <v>0</v>
      </c>
      <c r="AT548">
        <f t="shared" si="86"/>
        <v>0</v>
      </c>
      <c r="AU548">
        <f t="shared" si="87"/>
        <v>0</v>
      </c>
      <c r="AV548">
        <f t="shared" si="88"/>
        <v>0</v>
      </c>
      <c r="AW548">
        <f t="shared" si="89"/>
        <v>0</v>
      </c>
      <c r="AX548">
        <f t="shared" si="90"/>
        <v>0</v>
      </c>
      <c r="AY548">
        <f t="shared" si="91"/>
        <v>0</v>
      </c>
    </row>
    <row r="549" spans="38:51" x14ac:dyDescent="0.35">
      <c r="AL549" s="19" t="s">
        <v>160</v>
      </c>
      <c r="AM549">
        <f t="shared" si="79"/>
        <v>0</v>
      </c>
      <c r="AN549">
        <f t="shared" si="80"/>
        <v>0</v>
      </c>
      <c r="AO549">
        <f t="shared" si="81"/>
        <v>0</v>
      </c>
      <c r="AP549">
        <f t="shared" si="82"/>
        <v>0</v>
      </c>
      <c r="AQ549">
        <f t="shared" si="83"/>
        <v>0</v>
      </c>
      <c r="AR549">
        <f t="shared" si="84"/>
        <v>0</v>
      </c>
      <c r="AS549">
        <f t="shared" si="85"/>
        <v>0</v>
      </c>
      <c r="AT549">
        <f t="shared" si="86"/>
        <v>0</v>
      </c>
      <c r="AU549">
        <f t="shared" si="87"/>
        <v>0</v>
      </c>
      <c r="AV549">
        <f t="shared" si="88"/>
        <v>0</v>
      </c>
      <c r="AW549">
        <f t="shared" si="89"/>
        <v>0</v>
      </c>
      <c r="AX549">
        <f t="shared" si="90"/>
        <v>0</v>
      </c>
      <c r="AY549">
        <f t="shared" si="91"/>
        <v>0</v>
      </c>
    </row>
    <row r="550" spans="38:51" x14ac:dyDescent="0.35">
      <c r="AL550" s="19" t="s">
        <v>161</v>
      </c>
      <c r="AM550">
        <f t="shared" si="79"/>
        <v>0</v>
      </c>
      <c r="AN550">
        <f t="shared" si="80"/>
        <v>0</v>
      </c>
      <c r="AO550">
        <f t="shared" si="81"/>
        <v>0</v>
      </c>
      <c r="AP550">
        <f t="shared" si="82"/>
        <v>0</v>
      </c>
      <c r="AQ550">
        <f t="shared" si="83"/>
        <v>0</v>
      </c>
      <c r="AR550">
        <f t="shared" si="84"/>
        <v>0</v>
      </c>
      <c r="AS550">
        <f t="shared" si="85"/>
        <v>0</v>
      </c>
      <c r="AT550">
        <f t="shared" si="86"/>
        <v>0</v>
      </c>
      <c r="AU550">
        <f t="shared" si="87"/>
        <v>0</v>
      </c>
      <c r="AV550">
        <f t="shared" si="88"/>
        <v>0</v>
      </c>
      <c r="AW550">
        <f t="shared" si="89"/>
        <v>0</v>
      </c>
      <c r="AX550">
        <f t="shared" si="90"/>
        <v>0</v>
      </c>
      <c r="AY550">
        <f t="shared" si="91"/>
        <v>0</v>
      </c>
    </row>
    <row r="551" spans="38:51" x14ac:dyDescent="0.35">
      <c r="AL551" s="19" t="s">
        <v>162</v>
      </c>
      <c r="AM551">
        <f t="shared" si="79"/>
        <v>2</v>
      </c>
      <c r="AN551">
        <f t="shared" si="80"/>
        <v>0</v>
      </c>
      <c r="AO551">
        <f t="shared" si="81"/>
        <v>0</v>
      </c>
      <c r="AP551">
        <f t="shared" si="82"/>
        <v>0</v>
      </c>
      <c r="AQ551">
        <f t="shared" si="83"/>
        <v>3</v>
      </c>
      <c r="AR551">
        <f t="shared" si="84"/>
        <v>0</v>
      </c>
      <c r="AS551">
        <f t="shared" si="85"/>
        <v>0</v>
      </c>
      <c r="AT551">
        <f t="shared" si="86"/>
        <v>0</v>
      </c>
      <c r="AU551">
        <f t="shared" si="87"/>
        <v>0</v>
      </c>
      <c r="AV551">
        <f t="shared" si="88"/>
        <v>2</v>
      </c>
      <c r="AW551">
        <f t="shared" si="89"/>
        <v>0</v>
      </c>
      <c r="AX551">
        <f t="shared" si="90"/>
        <v>0</v>
      </c>
      <c r="AY551">
        <f t="shared" si="91"/>
        <v>0</v>
      </c>
    </row>
    <row r="552" spans="38:51" x14ac:dyDescent="0.35">
      <c r="AL552" s="19" t="s">
        <v>163</v>
      </c>
      <c r="AM552">
        <f t="shared" si="79"/>
        <v>0</v>
      </c>
      <c r="AN552">
        <f t="shared" si="80"/>
        <v>0</v>
      </c>
      <c r="AO552">
        <f t="shared" si="81"/>
        <v>0</v>
      </c>
      <c r="AP552">
        <f t="shared" si="82"/>
        <v>0</v>
      </c>
      <c r="AQ552">
        <f t="shared" si="83"/>
        <v>0</v>
      </c>
      <c r="AR552">
        <f t="shared" si="84"/>
        <v>0</v>
      </c>
      <c r="AS552">
        <f t="shared" si="85"/>
        <v>0</v>
      </c>
      <c r="AT552">
        <f t="shared" si="86"/>
        <v>0</v>
      </c>
      <c r="AU552">
        <f t="shared" si="87"/>
        <v>0</v>
      </c>
      <c r="AV552">
        <f t="shared" si="88"/>
        <v>0</v>
      </c>
      <c r="AW552">
        <f t="shared" si="89"/>
        <v>0</v>
      </c>
      <c r="AX552">
        <f t="shared" si="90"/>
        <v>0</v>
      </c>
      <c r="AY552">
        <f t="shared" si="91"/>
        <v>0</v>
      </c>
    </row>
    <row r="553" spans="38:51" x14ac:dyDescent="0.35">
      <c r="AL553" s="19" t="s">
        <v>164</v>
      </c>
      <c r="AM553">
        <f t="shared" si="79"/>
        <v>0</v>
      </c>
      <c r="AN553">
        <f t="shared" si="80"/>
        <v>0</v>
      </c>
      <c r="AO553">
        <f t="shared" si="81"/>
        <v>0</v>
      </c>
      <c r="AP553">
        <f t="shared" si="82"/>
        <v>0</v>
      </c>
      <c r="AQ553">
        <f t="shared" si="83"/>
        <v>0</v>
      </c>
      <c r="AR553">
        <f t="shared" si="84"/>
        <v>0</v>
      </c>
      <c r="AS553">
        <f t="shared" si="85"/>
        <v>0</v>
      </c>
      <c r="AT553">
        <f t="shared" si="86"/>
        <v>0</v>
      </c>
      <c r="AU553">
        <f t="shared" si="87"/>
        <v>0</v>
      </c>
      <c r="AV553">
        <f t="shared" si="88"/>
        <v>0</v>
      </c>
      <c r="AW553">
        <f t="shared" si="89"/>
        <v>0</v>
      </c>
      <c r="AX553">
        <f t="shared" si="90"/>
        <v>0</v>
      </c>
      <c r="AY553">
        <f t="shared" si="91"/>
        <v>0</v>
      </c>
    </row>
    <row r="554" spans="38:51" x14ac:dyDescent="0.35">
      <c r="AL554" s="19" t="s">
        <v>165</v>
      </c>
      <c r="AM554">
        <f t="shared" si="79"/>
        <v>7</v>
      </c>
      <c r="AN554">
        <f t="shared" si="80"/>
        <v>7</v>
      </c>
      <c r="AO554">
        <f t="shared" si="81"/>
        <v>4</v>
      </c>
      <c r="AP554">
        <f t="shared" si="82"/>
        <v>1</v>
      </c>
      <c r="AQ554">
        <f t="shared" si="83"/>
        <v>4</v>
      </c>
      <c r="AR554">
        <f t="shared" si="84"/>
        <v>4</v>
      </c>
      <c r="AS554">
        <f t="shared" si="85"/>
        <v>3</v>
      </c>
      <c r="AT554">
        <f t="shared" si="86"/>
        <v>5</v>
      </c>
      <c r="AU554">
        <f t="shared" si="87"/>
        <v>4</v>
      </c>
      <c r="AV554">
        <f t="shared" si="88"/>
        <v>7</v>
      </c>
      <c r="AW554">
        <f t="shared" si="89"/>
        <v>7</v>
      </c>
      <c r="AX554">
        <f t="shared" si="90"/>
        <v>7</v>
      </c>
      <c r="AY554">
        <f t="shared" si="91"/>
        <v>7</v>
      </c>
    </row>
    <row r="555" spans="38:51" x14ac:dyDescent="0.35">
      <c r="AL555" s="19" t="s">
        <v>166</v>
      </c>
      <c r="AM555">
        <f t="shared" si="79"/>
        <v>0</v>
      </c>
      <c r="AN555">
        <f t="shared" si="80"/>
        <v>0</v>
      </c>
      <c r="AO555">
        <f t="shared" si="81"/>
        <v>0</v>
      </c>
      <c r="AP555">
        <f t="shared" si="82"/>
        <v>0</v>
      </c>
      <c r="AQ555">
        <f t="shared" si="83"/>
        <v>0</v>
      </c>
      <c r="AR555">
        <f t="shared" si="84"/>
        <v>0</v>
      </c>
      <c r="AS555">
        <f t="shared" si="85"/>
        <v>0</v>
      </c>
      <c r="AT555">
        <f t="shared" si="86"/>
        <v>0</v>
      </c>
      <c r="AU555">
        <f t="shared" si="87"/>
        <v>0</v>
      </c>
      <c r="AV555">
        <f t="shared" si="88"/>
        <v>0</v>
      </c>
      <c r="AW555">
        <f t="shared" si="89"/>
        <v>0</v>
      </c>
      <c r="AX555">
        <f t="shared" si="90"/>
        <v>0</v>
      </c>
      <c r="AY555">
        <f t="shared" si="91"/>
        <v>0</v>
      </c>
    </row>
    <row r="556" spans="38:51" x14ac:dyDescent="0.35">
      <c r="AL556" s="19" t="s">
        <v>167</v>
      </c>
      <c r="AM556">
        <f t="shared" si="79"/>
        <v>0</v>
      </c>
      <c r="AN556">
        <f t="shared" si="80"/>
        <v>1</v>
      </c>
      <c r="AO556">
        <f t="shared" si="81"/>
        <v>0</v>
      </c>
      <c r="AP556">
        <f t="shared" si="82"/>
        <v>0</v>
      </c>
      <c r="AQ556">
        <f t="shared" si="83"/>
        <v>0</v>
      </c>
      <c r="AR556">
        <f t="shared" si="84"/>
        <v>0</v>
      </c>
      <c r="AS556">
        <f t="shared" si="85"/>
        <v>0</v>
      </c>
      <c r="AT556">
        <f t="shared" si="86"/>
        <v>0</v>
      </c>
      <c r="AU556">
        <f t="shared" si="87"/>
        <v>0</v>
      </c>
      <c r="AV556">
        <f t="shared" si="88"/>
        <v>0</v>
      </c>
      <c r="AW556">
        <f t="shared" si="89"/>
        <v>0</v>
      </c>
      <c r="AX556">
        <f t="shared" si="90"/>
        <v>0</v>
      </c>
      <c r="AY556">
        <f t="shared" si="91"/>
        <v>0</v>
      </c>
    </row>
    <row r="557" spans="38:51" x14ac:dyDescent="0.35">
      <c r="AL557" s="19" t="s">
        <v>338</v>
      </c>
      <c r="AM557">
        <f t="shared" si="79"/>
        <v>0</v>
      </c>
      <c r="AN557">
        <f t="shared" si="80"/>
        <v>0</v>
      </c>
      <c r="AO557">
        <f t="shared" si="81"/>
        <v>0</v>
      </c>
      <c r="AP557">
        <f t="shared" si="82"/>
        <v>0</v>
      </c>
      <c r="AQ557">
        <f t="shared" si="83"/>
        <v>0</v>
      </c>
      <c r="AR557">
        <f t="shared" si="84"/>
        <v>0</v>
      </c>
      <c r="AS557">
        <f t="shared" si="85"/>
        <v>0</v>
      </c>
      <c r="AT557">
        <f t="shared" si="86"/>
        <v>0</v>
      </c>
      <c r="AU557">
        <f t="shared" si="87"/>
        <v>0</v>
      </c>
      <c r="AV557">
        <f t="shared" si="88"/>
        <v>0</v>
      </c>
      <c r="AW557">
        <f t="shared" si="89"/>
        <v>0</v>
      </c>
      <c r="AX557">
        <f t="shared" si="90"/>
        <v>0</v>
      </c>
      <c r="AY557">
        <f t="shared" si="91"/>
        <v>0</v>
      </c>
    </row>
    <row r="558" spans="38:51" x14ac:dyDescent="0.35">
      <c r="AL558" s="19"/>
    </row>
    <row r="559" spans="38:51" x14ac:dyDescent="0.35">
      <c r="AL559" s="19"/>
    </row>
    <row r="560" spans="38:51" x14ac:dyDescent="0.35">
      <c r="AL560" s="19"/>
    </row>
    <row r="561" spans="38:38" x14ac:dyDescent="0.35">
      <c r="AL561" s="19"/>
    </row>
    <row r="562" spans="38:38" x14ac:dyDescent="0.35">
      <c r="AL562" s="19"/>
    </row>
    <row r="563" spans="38:38" x14ac:dyDescent="0.35">
      <c r="AL563" s="19"/>
    </row>
    <row r="564" spans="38:38" x14ac:dyDescent="0.35">
      <c r="AL564" s="19"/>
    </row>
    <row r="565" spans="38:38" x14ac:dyDescent="0.35">
      <c r="AL565" s="19"/>
    </row>
    <row r="566" spans="38:38" x14ac:dyDescent="0.35">
      <c r="AL566" s="19"/>
    </row>
    <row r="567" spans="38:38" x14ac:dyDescent="0.35">
      <c r="AL567" s="19"/>
    </row>
    <row r="568" spans="38:38" x14ac:dyDescent="0.35">
      <c r="AL568" s="19"/>
    </row>
    <row r="569" spans="38:38" x14ac:dyDescent="0.35">
      <c r="AL569" s="19"/>
    </row>
  </sheetData>
  <mergeCells count="1">
    <mergeCell ref="I1:AD1"/>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BJ44"/>
  <sheetViews>
    <sheetView topLeftCell="AB1" zoomScale="55" zoomScaleNormal="55" workbookViewId="0">
      <selection activeCell="AQ4" sqref="AQ4"/>
    </sheetView>
  </sheetViews>
  <sheetFormatPr defaultRowHeight="14.5" x14ac:dyDescent="0.35"/>
  <cols>
    <col min="1" max="1" width="3.54296875" customWidth="1"/>
    <col min="2" max="2" width="35.54296875" bestFit="1" customWidth="1"/>
    <col min="3" max="3" width="22.6328125" bestFit="1" customWidth="1"/>
    <col min="4" max="4" width="11" bestFit="1" customWidth="1"/>
    <col min="5" max="5" width="12.54296875" bestFit="1" customWidth="1"/>
    <col min="6" max="6" width="31.36328125" bestFit="1" customWidth="1"/>
    <col min="7" max="7" width="15" bestFit="1" customWidth="1"/>
    <col min="8" max="8" width="14.26953125" bestFit="1" customWidth="1"/>
    <col min="9" max="9" width="15" bestFit="1" customWidth="1"/>
    <col min="10" max="10" width="15.54296875" bestFit="1" customWidth="1"/>
    <col min="11" max="11" width="11.26953125" customWidth="1"/>
    <col min="22" max="22" width="36.81640625" bestFit="1" customWidth="1"/>
    <col min="23" max="23" width="22.6328125" bestFit="1" customWidth="1"/>
    <col min="24" max="24" width="11" bestFit="1" customWidth="1"/>
    <col min="25" max="25" width="12.54296875" bestFit="1" customWidth="1"/>
    <col min="26" max="26" width="31.36328125" bestFit="1" customWidth="1"/>
    <col min="27" max="27" width="15" bestFit="1" customWidth="1"/>
    <col min="28" max="28" width="14.26953125" bestFit="1" customWidth="1"/>
    <col min="29" max="29" width="15" bestFit="1" customWidth="1"/>
    <col min="30" max="30" width="15.54296875" bestFit="1" customWidth="1"/>
    <col min="31" max="31" width="11.26953125" customWidth="1"/>
    <col min="43" max="43" width="39.26953125" bestFit="1" customWidth="1"/>
    <col min="44" max="44" width="22.6328125" bestFit="1" customWidth="1"/>
    <col min="45" max="45" width="11" bestFit="1" customWidth="1"/>
    <col min="46" max="46" width="12.54296875" bestFit="1" customWidth="1"/>
    <col min="47" max="47" width="31.36328125" bestFit="1" customWidth="1"/>
    <col min="48" max="48" width="15" bestFit="1" customWidth="1"/>
    <col min="49" max="49" width="14.26953125" bestFit="1" customWidth="1"/>
    <col min="50" max="50" width="15" bestFit="1" customWidth="1"/>
    <col min="51" max="51" width="15.54296875" bestFit="1" customWidth="1"/>
    <col min="52" max="52" width="11.26953125" customWidth="1"/>
    <col min="53" max="53" width="11.26953125" bestFit="1" customWidth="1"/>
  </cols>
  <sheetData>
    <row r="1" spans="2:62" x14ac:dyDescent="0.35">
      <c r="B1" s="194" t="s">
        <v>267</v>
      </c>
      <c r="C1" s="194"/>
      <c r="D1" s="194"/>
      <c r="E1" s="194"/>
      <c r="F1" s="194"/>
      <c r="G1" s="194"/>
      <c r="H1" s="194"/>
      <c r="I1" s="194"/>
      <c r="J1" s="194"/>
      <c r="K1" s="194"/>
      <c r="L1" s="194"/>
      <c r="M1" s="194"/>
      <c r="N1" s="194"/>
      <c r="O1" s="194"/>
      <c r="P1" s="194"/>
      <c r="Q1" s="194"/>
      <c r="V1" s="192" t="s">
        <v>268</v>
      </c>
      <c r="W1" s="192"/>
      <c r="X1" s="192"/>
      <c r="Y1" s="192"/>
      <c r="Z1" s="192"/>
      <c r="AA1" s="192"/>
      <c r="AB1" s="192"/>
      <c r="AC1" s="192"/>
      <c r="AD1" s="192"/>
      <c r="AE1" s="192"/>
      <c r="AF1" s="192"/>
      <c r="AG1" s="192"/>
      <c r="AH1" s="192"/>
      <c r="AI1" s="192"/>
      <c r="AJ1" s="192"/>
      <c r="AK1" s="192"/>
      <c r="AQ1" s="192" t="s">
        <v>269</v>
      </c>
      <c r="AR1" s="192"/>
      <c r="AS1" s="192"/>
      <c r="AT1" s="192"/>
      <c r="AU1" s="192"/>
      <c r="AV1" s="192"/>
      <c r="AW1" s="192"/>
      <c r="AX1" s="192"/>
      <c r="AY1" s="192"/>
      <c r="AZ1" s="192"/>
      <c r="BA1" s="192"/>
      <c r="BB1" s="192"/>
      <c r="BC1" s="192"/>
      <c r="BD1" s="192"/>
      <c r="BE1" s="192"/>
      <c r="BF1" s="192"/>
      <c r="BG1" s="192"/>
    </row>
    <row r="3" spans="2:62" x14ac:dyDescent="0.35">
      <c r="B3" s="18" t="s">
        <v>39</v>
      </c>
      <c r="C3" t="s" vm="1">
        <v>334</v>
      </c>
      <c r="V3" s="18" t="s">
        <v>39</v>
      </c>
      <c r="W3" t="s" vm="1">
        <v>334</v>
      </c>
    </row>
    <row r="4" spans="2:62" x14ac:dyDescent="0.35">
      <c r="M4" t="s">
        <v>40</v>
      </c>
      <c r="N4" t="s">
        <v>1</v>
      </c>
      <c r="O4" t="s">
        <v>220</v>
      </c>
      <c r="P4" t="s">
        <v>249</v>
      </c>
      <c r="Q4" t="s">
        <v>217</v>
      </c>
      <c r="R4" t="s">
        <v>218</v>
      </c>
      <c r="S4" t="s">
        <v>252</v>
      </c>
      <c r="T4" t="s">
        <v>251</v>
      </c>
      <c r="AG4" t="s">
        <v>40</v>
      </c>
      <c r="AH4" t="s">
        <v>1</v>
      </c>
      <c r="AI4" t="s">
        <v>220</v>
      </c>
      <c r="AJ4" t="s">
        <v>249</v>
      </c>
      <c r="AK4" t="s">
        <v>217</v>
      </c>
      <c r="AL4" t="s">
        <v>218</v>
      </c>
      <c r="AM4" t="s">
        <v>252</v>
      </c>
      <c r="AN4" t="s">
        <v>251</v>
      </c>
      <c r="AQ4" s="18" t="s">
        <v>39</v>
      </c>
      <c r="AR4" t="s" vm="1">
        <v>334</v>
      </c>
      <c r="BC4" t="s">
        <v>40</v>
      </c>
      <c r="BD4" t="s">
        <v>1</v>
      </c>
      <c r="BE4" t="s">
        <v>220</v>
      </c>
      <c r="BF4" t="s">
        <v>249</v>
      </c>
      <c r="BG4" t="s">
        <v>217</v>
      </c>
      <c r="BH4" t="s">
        <v>218</v>
      </c>
      <c r="BI4" t="s">
        <v>252</v>
      </c>
      <c r="BJ4" t="s">
        <v>251</v>
      </c>
    </row>
    <row r="5" spans="2:62" x14ac:dyDescent="0.35">
      <c r="B5" s="18" t="s">
        <v>60</v>
      </c>
      <c r="C5" s="18" t="s">
        <v>41</v>
      </c>
      <c r="L5" s="21" t="s">
        <v>42</v>
      </c>
      <c r="M5">
        <f>VLOOKUP($L5,$B$7:$J$1048576,9,FALSE)/7</f>
        <v>41750.285714285717</v>
      </c>
      <c r="N5">
        <f>VLOOKUP($L5,$B$7:$J$1048576,3,FALSE)/7</f>
        <v>5933.2857142857147</v>
      </c>
      <c r="O5">
        <f>VLOOKUP($L5,$B$7:$J$1048576,4,FALSE)/7</f>
        <v>7358.5714285714284</v>
      </c>
      <c r="P5">
        <f>VLOOKUP($L5,$B$7:$J$1048576,5,FALSE)/7</f>
        <v>7141.2857142857147</v>
      </c>
      <c r="Q5">
        <f>VLOOKUP($L5,$B$7:$J$1048576,7,FALSE)/7</f>
        <v>5868.8571428571431</v>
      </c>
      <c r="R5">
        <f>VLOOKUP($L5,$B$7:$J$1048576,8,FALSE)/7</f>
        <v>4691.8571428571431</v>
      </c>
      <c r="S5">
        <f>VLOOKUP($L5,$B$7:$J$1048576,2,FALSE)/7</f>
        <v>4367.2857142857147</v>
      </c>
      <c r="T5">
        <f>VLOOKUP($L5,$B$7:$J$1048576,6,FALSE)/7</f>
        <v>6389.1428571428569</v>
      </c>
      <c r="V5" s="18" t="s">
        <v>61</v>
      </c>
      <c r="W5" s="18" t="s">
        <v>41</v>
      </c>
      <c r="AF5" s="21" t="s">
        <v>42</v>
      </c>
      <c r="AG5">
        <f>VLOOKUP($AF5,$V$7:$AD$1048576,9,FALSE)/7</f>
        <v>14957.714285714286</v>
      </c>
      <c r="AH5">
        <f>VLOOKUP($AF5,$V$7:$AD$1048576,3,FALSE)/7</f>
        <v>2215</v>
      </c>
      <c r="AI5">
        <f>VLOOKUP($AF5,$V$7:$AD$1048576,4,FALSE)/7</f>
        <v>2433.8571428571427</v>
      </c>
      <c r="AJ5">
        <f>VLOOKUP($AF5,$V$7:$AD$1048576,5,FALSE)/7</f>
        <v>2602.4285714285716</v>
      </c>
      <c r="AK5">
        <f>VLOOKUP($AF5,$V$7:$AD$1048576,7,FALSE)/7</f>
        <v>1927</v>
      </c>
      <c r="AL5">
        <f>VLOOKUP($AF5,$V$7:$AD$1048576,8,FALSE)/7</f>
        <v>1809.4285714285713</v>
      </c>
      <c r="AM5">
        <f>VLOOKUP($AF5,$V$7:$AD$1048576,2,FALSE)/7</f>
        <v>1464.1428571428571</v>
      </c>
      <c r="AN5">
        <f>VLOOKUP($AF5,$V$7:$AD$1048576,6,FALSE)/7</f>
        <v>2505.8571428571427</v>
      </c>
      <c r="BB5" s="21" t="s">
        <v>42</v>
      </c>
      <c r="BC5">
        <f>VLOOKUP(BB5, $AQ$8:$AY$1048576, 9, 0)/7</f>
        <v>23685.142857142859</v>
      </c>
      <c r="BD5">
        <f>VLOOKUP(BB5, $AQ$8:$AY$1048576, 3, 0)/7</f>
        <v>3344.2857142857142</v>
      </c>
      <c r="BE5">
        <f>VLOOKUP(BB5, $AQ$8:$AY$1048576, 4, 0)/7</f>
        <v>4039.5714285714284</v>
      </c>
      <c r="BF5">
        <f>VLOOKUP(BB5, $AQ$8:$AY$1048576, 5, 0)/7</f>
        <v>4117</v>
      </c>
      <c r="BG5">
        <f>VLOOKUP(BB5, $AQ$8:$AY$1048576, 7, 0)/7</f>
        <v>3191.2857142857142</v>
      </c>
      <c r="BH5">
        <f>VLOOKUP(BB5, $AQ$8:$AY$1048576, 8, 0)/7</f>
        <v>2791.5714285714284</v>
      </c>
      <c r="BI5">
        <f>VLOOKUP(BB5, $AQ$8:$AY$1048576, 2, 0)/7</f>
        <v>2384.4285714285716</v>
      </c>
      <c r="BJ5">
        <f>VLOOKUP(BB5, $AQ$8:$AY$1048576, 6, 0)/7</f>
        <v>3817</v>
      </c>
    </row>
    <row r="6" spans="2:62" x14ac:dyDescent="0.35">
      <c r="B6" s="18" t="s">
        <v>37</v>
      </c>
      <c r="C6" t="s">
        <v>282</v>
      </c>
      <c r="D6" t="s">
        <v>1</v>
      </c>
      <c r="E6" t="s">
        <v>220</v>
      </c>
      <c r="F6" t="s">
        <v>253</v>
      </c>
      <c r="G6" t="s">
        <v>250</v>
      </c>
      <c r="H6" t="s">
        <v>217</v>
      </c>
      <c r="I6" t="s">
        <v>218</v>
      </c>
      <c r="J6" t="s">
        <v>38</v>
      </c>
      <c r="L6" s="20" t="s">
        <v>43</v>
      </c>
      <c r="M6">
        <f t="shared" ref="M6:M17" si="0">VLOOKUP($L6,$B$7:$J$1048576,9,FALSE)/7</f>
        <v>42546.142857142855</v>
      </c>
      <c r="N6">
        <f t="shared" ref="N6:N17" si="1">VLOOKUP($L6,$B$7:$J$1048576,3,FALSE)/7</f>
        <v>6031.4285714285716</v>
      </c>
      <c r="O6">
        <f t="shared" ref="O6:O17" si="2">VLOOKUP($L6,$B$7:$J$1048576,4,FALSE)/7</f>
        <v>7428.5714285714284</v>
      </c>
      <c r="P6">
        <f t="shared" ref="P6:P17" si="3">VLOOKUP($L6,$B$7:$J$1048576,5,FALSE)/7</f>
        <v>7298.5714285714284</v>
      </c>
      <c r="Q6">
        <f t="shared" ref="Q6:Q17" si="4">VLOOKUP($L6,$B$7:$J$1048576,7,FALSE)/7</f>
        <v>6140.2857142857147</v>
      </c>
      <c r="R6">
        <f t="shared" ref="R6:R17" si="5">VLOOKUP($L6,$B$7:$J$1048576,8,FALSE)/7</f>
        <v>4692.8571428571431</v>
      </c>
      <c r="S6">
        <f t="shared" ref="S6:S17" si="6">VLOOKUP($L6,$B$7:$J$1048576,2,FALSE)/7</f>
        <v>4417.8571428571431</v>
      </c>
      <c r="T6">
        <f t="shared" ref="T6:T17" si="7">VLOOKUP($L6,$B$7:$J$1048576,6,FALSE)/7</f>
        <v>6536.5714285714284</v>
      </c>
      <c r="V6" s="18" t="s">
        <v>37</v>
      </c>
      <c r="W6" t="s">
        <v>282</v>
      </c>
      <c r="X6" t="s">
        <v>1</v>
      </c>
      <c r="Y6" t="s">
        <v>220</v>
      </c>
      <c r="Z6" t="s">
        <v>253</v>
      </c>
      <c r="AA6" t="s">
        <v>250</v>
      </c>
      <c r="AB6" t="s">
        <v>217</v>
      </c>
      <c r="AC6" t="s">
        <v>218</v>
      </c>
      <c r="AD6" t="s">
        <v>38</v>
      </c>
      <c r="AF6" s="20" t="s">
        <v>43</v>
      </c>
      <c r="AG6">
        <f t="shared" ref="AG6:AG17" si="8">VLOOKUP($AF6,$V$7:$AD$1048576,9,FALSE)/7</f>
        <v>15111.142857142857</v>
      </c>
      <c r="AH6">
        <f t="shared" ref="AH6:AH17" si="9">VLOOKUP($AF6,$V$7:$AD$1048576,3,FALSE)/7</f>
        <v>2228.8571428571427</v>
      </c>
      <c r="AI6">
        <f t="shared" ref="AI6:AI17" si="10">VLOOKUP($AF6,$V$7:$AD$1048576,4,FALSE)/7</f>
        <v>2495.2857142857142</v>
      </c>
      <c r="AJ6">
        <f t="shared" ref="AJ6:AJ17" si="11">VLOOKUP($AF6,$V$7:$AD$1048576,5,FALSE)/7</f>
        <v>2632.1428571428573</v>
      </c>
      <c r="AK6">
        <f t="shared" ref="AK6:AK17" si="12">VLOOKUP($AF6,$V$7:$AD$1048576,7,FALSE)/7</f>
        <v>1957.4285714285713</v>
      </c>
      <c r="AL6">
        <f t="shared" ref="AL6:AL17" si="13">VLOOKUP($AF6,$V$7:$AD$1048576,8,FALSE)/7</f>
        <v>1819.8571428571429</v>
      </c>
      <c r="AM6">
        <f t="shared" ref="AM6:AM17" si="14">VLOOKUP($AF6,$V$7:$AD$1048576,2,FALSE)/7</f>
        <v>1448.2857142857142</v>
      </c>
      <c r="AN6">
        <f t="shared" ref="AN6:AN17" si="15">VLOOKUP($AF6,$V$7:$AD$1048576,6,FALSE)/7</f>
        <v>2529.2857142857142</v>
      </c>
      <c r="AQ6" s="18" t="s">
        <v>246</v>
      </c>
      <c r="AR6" s="18" t="s">
        <v>41</v>
      </c>
      <c r="BB6" s="71" t="s">
        <v>43</v>
      </c>
      <c r="BC6">
        <f t="shared" ref="BC6:BC17" si="16">VLOOKUP(BB6, $AQ$8:$AY$1048576, 9, 0)/7</f>
        <v>23970</v>
      </c>
      <c r="BD6">
        <f t="shared" ref="BD6:BD17" si="17">VLOOKUP(BB6, $AQ$8:$AY$1048576, 3, 0)/7</f>
        <v>3419.5714285714284</v>
      </c>
      <c r="BE6">
        <f t="shared" ref="BE6:BE17" si="18">VLOOKUP(BB6, $AQ$8:$AY$1048576, 4, 0)/7</f>
        <v>4030.1428571428573</v>
      </c>
      <c r="BF6">
        <f t="shared" ref="BF6:BF17" si="19">VLOOKUP(BB6, $AQ$8:$AY$1048576, 5, 0)/7</f>
        <v>4169.5714285714284</v>
      </c>
      <c r="BG6">
        <f t="shared" ref="BG6:BG17" si="20">VLOOKUP(BB6, $AQ$8:$AY$1048576, 7, 0)/7</f>
        <v>3297.8571428571427</v>
      </c>
      <c r="BH6">
        <f t="shared" ref="BH6:BH17" si="21">VLOOKUP(BB6, $AQ$8:$AY$1048576, 8, 0)/7</f>
        <v>2807.2857142857142</v>
      </c>
      <c r="BI6">
        <f t="shared" ref="BI6:BI17" si="22">VLOOKUP(BB6, $AQ$8:$AY$1048576, 2, 0)/7</f>
        <v>2412</v>
      </c>
      <c r="BJ6">
        <f t="shared" ref="BJ6:BJ17" si="23">VLOOKUP(BB6, $AQ$8:$AY$1048576, 6, 0)/7</f>
        <v>3833.5714285714284</v>
      </c>
    </row>
    <row r="7" spans="2:62" x14ac:dyDescent="0.35">
      <c r="B7" s="19" t="s">
        <v>42</v>
      </c>
      <c r="C7" s="2">
        <v>30571</v>
      </c>
      <c r="D7" s="2">
        <v>41533</v>
      </c>
      <c r="E7" s="2">
        <v>51510</v>
      </c>
      <c r="F7" s="2">
        <v>49989</v>
      </c>
      <c r="G7" s="2">
        <v>44724</v>
      </c>
      <c r="H7" s="2">
        <v>41082</v>
      </c>
      <c r="I7" s="2">
        <v>32843</v>
      </c>
      <c r="J7" s="2">
        <v>292252</v>
      </c>
      <c r="K7" s="2"/>
      <c r="L7" s="20" t="s">
        <v>44</v>
      </c>
      <c r="M7">
        <f t="shared" si="0"/>
        <v>42989.571428571428</v>
      </c>
      <c r="N7">
        <f t="shared" si="1"/>
        <v>6222.1428571428569</v>
      </c>
      <c r="O7">
        <f t="shared" si="2"/>
        <v>7456.5714285714284</v>
      </c>
      <c r="P7">
        <f t="shared" si="3"/>
        <v>7344</v>
      </c>
      <c r="Q7">
        <f t="shared" si="4"/>
        <v>6157.1428571428569</v>
      </c>
      <c r="R7">
        <f t="shared" si="5"/>
        <v>4758.8571428571431</v>
      </c>
      <c r="S7">
        <f t="shared" si="6"/>
        <v>4467</v>
      </c>
      <c r="T7">
        <f t="shared" si="7"/>
        <v>6583.8571428571431</v>
      </c>
      <c r="V7" s="19" t="s">
        <v>42</v>
      </c>
      <c r="W7" s="2">
        <v>10249</v>
      </c>
      <c r="X7" s="2">
        <v>15505</v>
      </c>
      <c r="Y7" s="2">
        <v>17037</v>
      </c>
      <c r="Z7" s="2">
        <v>18217</v>
      </c>
      <c r="AA7" s="2">
        <v>17541</v>
      </c>
      <c r="AB7" s="2">
        <v>13489</v>
      </c>
      <c r="AC7" s="2">
        <v>12666</v>
      </c>
      <c r="AD7" s="2">
        <v>104704</v>
      </c>
      <c r="AE7" s="2"/>
      <c r="AF7" s="20" t="s">
        <v>44</v>
      </c>
      <c r="AG7">
        <f t="shared" si="8"/>
        <v>15140.142857142857</v>
      </c>
      <c r="AH7">
        <f t="shared" si="9"/>
        <v>2288.4285714285716</v>
      </c>
      <c r="AI7">
        <f t="shared" si="10"/>
        <v>2474.5714285714284</v>
      </c>
      <c r="AJ7">
        <f t="shared" si="11"/>
        <v>2611</v>
      </c>
      <c r="AK7">
        <f t="shared" si="12"/>
        <v>1999.5714285714287</v>
      </c>
      <c r="AL7">
        <f t="shared" si="13"/>
        <v>1833.5714285714287</v>
      </c>
      <c r="AM7">
        <f t="shared" si="14"/>
        <v>1445</v>
      </c>
      <c r="AN7">
        <f t="shared" si="15"/>
        <v>2488</v>
      </c>
      <c r="AQ7" s="18" t="s">
        <v>37</v>
      </c>
      <c r="AR7" t="s">
        <v>282</v>
      </c>
      <c r="AS7" t="s">
        <v>1</v>
      </c>
      <c r="AT7" t="s">
        <v>220</v>
      </c>
      <c r="AU7" t="s">
        <v>253</v>
      </c>
      <c r="AV7" t="s">
        <v>250</v>
      </c>
      <c r="AW7" t="s">
        <v>217</v>
      </c>
      <c r="AX7" t="s">
        <v>218</v>
      </c>
      <c r="AY7" t="s">
        <v>38</v>
      </c>
      <c r="BB7" s="72" t="s">
        <v>44</v>
      </c>
      <c r="BC7">
        <f t="shared" si="16"/>
        <v>24314.428571428572</v>
      </c>
      <c r="BD7">
        <f t="shared" si="17"/>
        <v>3584.7142857142858</v>
      </c>
      <c r="BE7">
        <f t="shared" si="18"/>
        <v>4060.7142857142858</v>
      </c>
      <c r="BF7">
        <f t="shared" si="19"/>
        <v>4207.8571428571431</v>
      </c>
      <c r="BG7">
        <f t="shared" si="20"/>
        <v>3365.4285714285716</v>
      </c>
      <c r="BH7">
        <f t="shared" si="21"/>
        <v>2811.2857142857142</v>
      </c>
      <c r="BI7">
        <f t="shared" si="22"/>
        <v>2429.2857142857142</v>
      </c>
      <c r="BJ7">
        <f t="shared" si="23"/>
        <v>3855.1428571428573</v>
      </c>
    </row>
    <row r="8" spans="2:62" x14ac:dyDescent="0.35">
      <c r="B8" s="19" t="s">
        <v>51</v>
      </c>
      <c r="C8" s="2">
        <v>31440</v>
      </c>
      <c r="D8" s="2">
        <v>44720</v>
      </c>
      <c r="E8" s="2">
        <v>53082</v>
      </c>
      <c r="F8" s="2">
        <v>52736</v>
      </c>
      <c r="G8" s="2">
        <v>48982</v>
      </c>
      <c r="H8" s="2">
        <v>44920</v>
      </c>
      <c r="I8" s="2">
        <v>34186</v>
      </c>
      <c r="J8" s="2">
        <v>310066</v>
      </c>
      <c r="K8" s="2"/>
      <c r="L8" s="20" t="s">
        <v>45</v>
      </c>
      <c r="M8">
        <f t="shared" si="0"/>
        <v>39477.714285714283</v>
      </c>
      <c r="N8">
        <f t="shared" si="1"/>
        <v>5897.8571428571431</v>
      </c>
      <c r="O8">
        <f>VLOOKUP($L8,$B$7:$J$1048576,4,FALSE)/7</f>
        <v>6793.2857142857147</v>
      </c>
      <c r="P8">
        <f t="shared" si="3"/>
        <v>6678.7142857142853</v>
      </c>
      <c r="Q8">
        <f t="shared" si="4"/>
        <v>5620</v>
      </c>
      <c r="R8">
        <f t="shared" si="5"/>
        <v>4325.7142857142853</v>
      </c>
      <c r="S8">
        <f t="shared" si="6"/>
        <v>4159.7142857142853</v>
      </c>
      <c r="T8">
        <f t="shared" si="7"/>
        <v>6002.4285714285716</v>
      </c>
      <c r="V8" s="19" t="s">
        <v>51</v>
      </c>
      <c r="W8" s="2">
        <v>11135</v>
      </c>
      <c r="X8" s="2">
        <v>17417</v>
      </c>
      <c r="Y8" s="2">
        <v>19357</v>
      </c>
      <c r="Z8" s="2">
        <v>21274</v>
      </c>
      <c r="AA8" s="2">
        <v>21221</v>
      </c>
      <c r="AB8" s="2">
        <v>15716</v>
      </c>
      <c r="AC8" s="2">
        <v>14420</v>
      </c>
      <c r="AD8" s="2">
        <v>120540</v>
      </c>
      <c r="AE8" s="2"/>
      <c r="AF8" s="20" t="s">
        <v>45</v>
      </c>
      <c r="AG8">
        <f t="shared" si="8"/>
        <v>14418.285714285714</v>
      </c>
      <c r="AH8">
        <f t="shared" si="9"/>
        <v>2264.1428571428573</v>
      </c>
      <c r="AI8">
        <f t="shared" si="10"/>
        <v>2313.5714285714284</v>
      </c>
      <c r="AJ8">
        <f t="shared" si="11"/>
        <v>2443.7142857142858</v>
      </c>
      <c r="AK8">
        <f t="shared" si="12"/>
        <v>1892.1428571428571</v>
      </c>
      <c r="AL8">
        <f t="shared" si="13"/>
        <v>1721.2857142857142</v>
      </c>
      <c r="AM8">
        <f t="shared" si="14"/>
        <v>1411.5714285714287</v>
      </c>
      <c r="AN8">
        <f t="shared" si="15"/>
        <v>2371.8571428571427</v>
      </c>
      <c r="AQ8" s="19" t="s">
        <v>42</v>
      </c>
      <c r="AR8" s="2">
        <v>16691</v>
      </c>
      <c r="AS8" s="2">
        <v>23410</v>
      </c>
      <c r="AT8" s="2">
        <v>28277</v>
      </c>
      <c r="AU8" s="2">
        <v>28819</v>
      </c>
      <c r="AV8" s="2">
        <v>26719</v>
      </c>
      <c r="AW8" s="2">
        <v>22339</v>
      </c>
      <c r="AX8" s="2">
        <v>19541</v>
      </c>
      <c r="AY8" s="2">
        <v>165796</v>
      </c>
      <c r="AZ8" s="2"/>
      <c r="BB8" s="72" t="s">
        <v>45</v>
      </c>
      <c r="BC8">
        <f t="shared" si="16"/>
        <v>23019.571428571428</v>
      </c>
      <c r="BD8">
        <f t="shared" si="17"/>
        <v>3472.2857142857142</v>
      </c>
      <c r="BE8">
        <f t="shared" si="18"/>
        <v>3802.4285714285716</v>
      </c>
      <c r="BF8">
        <f t="shared" si="19"/>
        <v>3919</v>
      </c>
      <c r="BG8">
        <f t="shared" si="20"/>
        <v>3168</v>
      </c>
      <c r="BH8">
        <f t="shared" si="21"/>
        <v>2650.7142857142858</v>
      </c>
      <c r="BI8">
        <f t="shared" si="22"/>
        <v>2329.1428571428573</v>
      </c>
      <c r="BJ8">
        <f t="shared" si="23"/>
        <v>3678</v>
      </c>
    </row>
    <row r="9" spans="2:62" x14ac:dyDescent="0.35">
      <c r="B9" s="19" t="s">
        <v>52</v>
      </c>
      <c r="C9" s="2">
        <v>31769</v>
      </c>
      <c r="D9" s="2">
        <v>44869</v>
      </c>
      <c r="E9" s="2">
        <v>52951</v>
      </c>
      <c r="F9" s="2">
        <v>51110</v>
      </c>
      <c r="G9" s="2">
        <v>48368</v>
      </c>
      <c r="H9" s="2">
        <v>44923</v>
      </c>
      <c r="I9" s="2">
        <v>34034</v>
      </c>
      <c r="J9" s="2">
        <v>308024</v>
      </c>
      <c r="K9" s="2"/>
      <c r="L9" s="20" t="s">
        <v>46</v>
      </c>
      <c r="M9">
        <f t="shared" si="0"/>
        <v>40488.857142857145</v>
      </c>
      <c r="N9">
        <f t="shared" si="1"/>
        <v>5950.7142857142853</v>
      </c>
      <c r="O9">
        <f t="shared" si="2"/>
        <v>7024</v>
      </c>
      <c r="P9">
        <f t="shared" si="3"/>
        <v>6741.5714285714284</v>
      </c>
      <c r="Q9">
        <f t="shared" si="4"/>
        <v>5855.1428571428569</v>
      </c>
      <c r="R9">
        <f>VLOOKUP($L9,$B$7:$J$1048576,8,FALSE)/7</f>
        <v>4470.8571428571431</v>
      </c>
      <c r="S9">
        <f t="shared" si="6"/>
        <v>4224</v>
      </c>
      <c r="T9">
        <f t="shared" si="7"/>
        <v>6222.5714285714284</v>
      </c>
      <c r="V9" s="19" t="s">
        <v>52</v>
      </c>
      <c r="W9" s="2">
        <v>11065</v>
      </c>
      <c r="X9" s="2">
        <v>17467</v>
      </c>
      <c r="Y9" s="2">
        <v>18324</v>
      </c>
      <c r="Z9" s="2">
        <v>20096</v>
      </c>
      <c r="AA9" s="2">
        <v>21094</v>
      </c>
      <c r="AB9" s="2">
        <v>15821</v>
      </c>
      <c r="AC9" s="2">
        <v>14352</v>
      </c>
      <c r="AD9" s="2">
        <v>118219</v>
      </c>
      <c r="AE9" s="2"/>
      <c r="AF9" s="20" t="s">
        <v>46</v>
      </c>
      <c r="AG9">
        <f t="shared" si="8"/>
        <v>15202.428571428571</v>
      </c>
      <c r="AH9">
        <f t="shared" si="9"/>
        <v>2374.2857142857142</v>
      </c>
      <c r="AI9">
        <f t="shared" si="10"/>
        <v>2428.8571428571427</v>
      </c>
      <c r="AJ9">
        <f t="shared" si="11"/>
        <v>2514.5714285714284</v>
      </c>
      <c r="AK9">
        <f t="shared" si="12"/>
        <v>2032</v>
      </c>
      <c r="AL9">
        <f t="shared" si="13"/>
        <v>1821.2857142857142</v>
      </c>
      <c r="AM9">
        <f t="shared" si="14"/>
        <v>1450.2857142857142</v>
      </c>
      <c r="AN9">
        <f t="shared" si="15"/>
        <v>2581.1428571428573</v>
      </c>
      <c r="AQ9" s="19" t="s">
        <v>51</v>
      </c>
      <c r="AR9" s="2">
        <v>17751</v>
      </c>
      <c r="AS9" s="2">
        <v>26518</v>
      </c>
      <c r="AT9" s="2">
        <v>30134</v>
      </c>
      <c r="AU9" s="2">
        <v>32053</v>
      </c>
      <c r="AV9" s="2">
        <v>30987</v>
      </c>
      <c r="AW9" s="2">
        <v>25402</v>
      </c>
      <c r="AX9" s="2">
        <v>21254</v>
      </c>
      <c r="AY9" s="2">
        <v>184099</v>
      </c>
      <c r="AZ9" s="2"/>
      <c r="BB9" s="72" t="s">
        <v>46</v>
      </c>
      <c r="BC9">
        <f t="shared" si="16"/>
        <v>23660</v>
      </c>
      <c r="BD9">
        <f t="shared" si="17"/>
        <v>3578.8571428571427</v>
      </c>
      <c r="BE9">
        <f t="shared" si="18"/>
        <v>3940.8571428571427</v>
      </c>
      <c r="BF9">
        <f t="shared" si="19"/>
        <v>3922.1428571428573</v>
      </c>
      <c r="BG9">
        <f t="shared" si="20"/>
        <v>3326.5714285714284</v>
      </c>
      <c r="BH9">
        <f t="shared" si="21"/>
        <v>2707</v>
      </c>
      <c r="BI9">
        <f t="shared" si="22"/>
        <v>2370.2857142857142</v>
      </c>
      <c r="BJ9">
        <f t="shared" si="23"/>
        <v>3814.2857142857142</v>
      </c>
    </row>
    <row r="10" spans="2:62" x14ac:dyDescent="0.35">
      <c r="B10" s="19" t="s">
        <v>53</v>
      </c>
      <c r="C10" s="2">
        <v>31899</v>
      </c>
      <c r="D10" s="2">
        <v>44700</v>
      </c>
      <c r="E10" s="2">
        <v>52452</v>
      </c>
      <c r="F10" s="2">
        <v>52438</v>
      </c>
      <c r="G10" s="2">
        <v>47779</v>
      </c>
      <c r="H10" s="2">
        <v>44566</v>
      </c>
      <c r="I10" s="2">
        <v>33813</v>
      </c>
      <c r="J10" s="2">
        <v>307647</v>
      </c>
      <c r="K10" s="2"/>
      <c r="L10" s="20" t="s">
        <v>47</v>
      </c>
      <c r="M10">
        <f t="shared" si="0"/>
        <v>44930.142857142855</v>
      </c>
      <c r="N10">
        <f t="shared" si="1"/>
        <v>6367.7142857142853</v>
      </c>
      <c r="O10">
        <f t="shared" si="2"/>
        <v>7871.7142857142853</v>
      </c>
      <c r="P10">
        <f t="shared" si="3"/>
        <v>7723.2857142857147</v>
      </c>
      <c r="Q10">
        <f t="shared" si="4"/>
        <v>6485</v>
      </c>
      <c r="R10">
        <f t="shared" si="5"/>
        <v>4886.7142857142853</v>
      </c>
      <c r="S10">
        <f t="shared" si="6"/>
        <v>4626.8571428571431</v>
      </c>
      <c r="T10">
        <f t="shared" si="7"/>
        <v>6968.8571428571431</v>
      </c>
      <c r="V10" s="19" t="s">
        <v>53</v>
      </c>
      <c r="W10" s="2">
        <v>11295</v>
      </c>
      <c r="X10" s="2">
        <v>17706</v>
      </c>
      <c r="Y10" s="2">
        <v>18317</v>
      </c>
      <c r="Z10" s="2">
        <v>19933</v>
      </c>
      <c r="AA10" s="2">
        <v>20475</v>
      </c>
      <c r="AB10" s="2">
        <v>16073</v>
      </c>
      <c r="AC10" s="2">
        <v>14081</v>
      </c>
      <c r="AD10" s="2">
        <v>117880</v>
      </c>
      <c r="AE10" s="2"/>
      <c r="AF10" s="20" t="s">
        <v>47</v>
      </c>
      <c r="AG10">
        <f t="shared" si="8"/>
        <v>16910.857142857141</v>
      </c>
      <c r="AH10">
        <f t="shared" si="9"/>
        <v>2582.1428571428573</v>
      </c>
      <c r="AI10">
        <f t="shared" si="10"/>
        <v>2750.5714285714284</v>
      </c>
      <c r="AJ10">
        <f t="shared" si="11"/>
        <v>2842.4285714285716</v>
      </c>
      <c r="AK10">
        <f t="shared" si="12"/>
        <v>2281.5714285714284</v>
      </c>
      <c r="AL10">
        <f t="shared" si="13"/>
        <v>1964.4285714285713</v>
      </c>
      <c r="AM10">
        <f t="shared" si="14"/>
        <v>1580.7142857142858</v>
      </c>
      <c r="AN10">
        <f t="shared" si="15"/>
        <v>2909</v>
      </c>
      <c r="AQ10" s="19" t="s">
        <v>52</v>
      </c>
      <c r="AR10" s="2">
        <v>18045</v>
      </c>
      <c r="AS10" s="2">
        <v>26532</v>
      </c>
      <c r="AT10" s="2">
        <v>29555</v>
      </c>
      <c r="AU10" s="2">
        <v>30139</v>
      </c>
      <c r="AV10" s="2">
        <v>30384</v>
      </c>
      <c r="AW10" s="2">
        <v>26014</v>
      </c>
      <c r="AX10" s="2">
        <v>21083</v>
      </c>
      <c r="AY10" s="2">
        <v>181752</v>
      </c>
      <c r="AZ10" s="2"/>
      <c r="BB10" s="72" t="s">
        <v>47</v>
      </c>
      <c r="BC10">
        <f t="shared" si="16"/>
        <v>26352.714285714286</v>
      </c>
      <c r="BD10">
        <f t="shared" si="17"/>
        <v>3866.8571428571427</v>
      </c>
      <c r="BE10">
        <f t="shared" si="18"/>
        <v>4438.2857142857147</v>
      </c>
      <c r="BF10">
        <f t="shared" si="19"/>
        <v>4438</v>
      </c>
      <c r="BG10">
        <f t="shared" si="20"/>
        <v>3742.7142857142858</v>
      </c>
      <c r="BH10">
        <f t="shared" si="21"/>
        <v>2976.7142857142858</v>
      </c>
      <c r="BI10">
        <f t="shared" si="22"/>
        <v>2582.5714285714284</v>
      </c>
      <c r="BJ10">
        <f t="shared" si="23"/>
        <v>4307.5714285714284</v>
      </c>
    </row>
    <row r="11" spans="2:62" x14ac:dyDescent="0.35">
      <c r="B11" s="19" t="s">
        <v>54</v>
      </c>
      <c r="C11" s="2">
        <v>32151</v>
      </c>
      <c r="D11" s="2">
        <v>44591</v>
      </c>
      <c r="E11" s="2">
        <v>52808</v>
      </c>
      <c r="F11" s="2">
        <v>53656</v>
      </c>
      <c r="G11" s="2">
        <v>47845</v>
      </c>
      <c r="H11" s="2">
        <v>44758</v>
      </c>
      <c r="I11" s="2">
        <v>34797</v>
      </c>
      <c r="J11" s="2">
        <v>310606</v>
      </c>
      <c r="K11" s="2"/>
      <c r="L11" s="20" t="s">
        <v>48</v>
      </c>
      <c r="M11">
        <f t="shared" si="0"/>
        <v>44581.142857142855</v>
      </c>
      <c r="N11">
        <f t="shared" si="1"/>
        <v>6332.5714285714284</v>
      </c>
      <c r="O11">
        <f t="shared" si="2"/>
        <v>7842.2857142857147</v>
      </c>
      <c r="P11">
        <f t="shared" si="3"/>
        <v>7738.1428571428569</v>
      </c>
      <c r="Q11">
        <f t="shared" si="4"/>
        <v>6253.7142857142853</v>
      </c>
      <c r="R11">
        <f t="shared" si="5"/>
        <v>4871.7142857142853</v>
      </c>
      <c r="S11">
        <f t="shared" si="6"/>
        <v>4565.1428571428569</v>
      </c>
      <c r="T11">
        <f t="shared" si="7"/>
        <v>6977.5714285714284</v>
      </c>
      <c r="V11" s="19" t="s">
        <v>54</v>
      </c>
      <c r="W11" s="2">
        <v>11109</v>
      </c>
      <c r="X11" s="2">
        <v>18291</v>
      </c>
      <c r="Y11" s="2">
        <v>18082</v>
      </c>
      <c r="Z11" s="2">
        <v>20412</v>
      </c>
      <c r="AA11" s="2">
        <v>20274</v>
      </c>
      <c r="AB11" s="2">
        <v>16010</v>
      </c>
      <c r="AC11" s="2">
        <v>14624</v>
      </c>
      <c r="AD11" s="2">
        <v>118802</v>
      </c>
      <c r="AE11" s="2"/>
      <c r="AF11" s="20" t="s">
        <v>48</v>
      </c>
      <c r="AG11">
        <f t="shared" si="8"/>
        <v>17541.285714285714</v>
      </c>
      <c r="AH11">
        <f t="shared" si="9"/>
        <v>2619</v>
      </c>
      <c r="AI11">
        <f t="shared" si="10"/>
        <v>2874.8571428571427</v>
      </c>
      <c r="AJ11">
        <f t="shared" si="11"/>
        <v>3035.2857142857142</v>
      </c>
      <c r="AK11">
        <f t="shared" si="12"/>
        <v>2294</v>
      </c>
      <c r="AL11">
        <f t="shared" si="13"/>
        <v>2038.2857142857142</v>
      </c>
      <c r="AM11">
        <f t="shared" si="14"/>
        <v>1609.2857142857142</v>
      </c>
      <c r="AN11">
        <f t="shared" si="15"/>
        <v>3070.5714285714284</v>
      </c>
      <c r="AQ11" s="19" t="s">
        <v>53</v>
      </c>
      <c r="AR11" s="2">
        <v>18025</v>
      </c>
      <c r="AS11" s="2">
        <v>26711</v>
      </c>
      <c r="AT11" s="2">
        <v>29200</v>
      </c>
      <c r="AU11" s="2">
        <v>31163</v>
      </c>
      <c r="AV11" s="2">
        <v>29986</v>
      </c>
      <c r="AW11" s="2">
        <v>25931</v>
      </c>
      <c r="AX11" s="2">
        <v>20980</v>
      </c>
      <c r="AY11" s="2">
        <v>181996</v>
      </c>
      <c r="AZ11" s="2"/>
      <c r="BB11" s="72" t="s">
        <v>48</v>
      </c>
      <c r="BC11">
        <f t="shared" si="16"/>
        <v>27050.571428571428</v>
      </c>
      <c r="BD11">
        <f t="shared" si="17"/>
        <v>3873.5714285714284</v>
      </c>
      <c r="BE11">
        <f t="shared" si="18"/>
        <v>4582</v>
      </c>
      <c r="BF11">
        <f t="shared" si="19"/>
        <v>4712.5714285714284</v>
      </c>
      <c r="BG11">
        <f t="shared" si="20"/>
        <v>3677.8571428571427</v>
      </c>
      <c r="BH11">
        <f t="shared" si="21"/>
        <v>3054.2857142857142</v>
      </c>
      <c r="BI11">
        <f t="shared" si="22"/>
        <v>2629</v>
      </c>
      <c r="BJ11">
        <f t="shared" si="23"/>
        <v>4521.2857142857147</v>
      </c>
    </row>
    <row r="12" spans="2:62" x14ac:dyDescent="0.35">
      <c r="B12" s="19" t="s">
        <v>43</v>
      </c>
      <c r="C12" s="2">
        <v>30925</v>
      </c>
      <c r="D12" s="2">
        <v>42220</v>
      </c>
      <c r="E12" s="2">
        <v>52000</v>
      </c>
      <c r="F12" s="2">
        <v>51090</v>
      </c>
      <c r="G12" s="2">
        <v>45756</v>
      </c>
      <c r="H12" s="2">
        <v>42982</v>
      </c>
      <c r="I12" s="2">
        <v>32850</v>
      </c>
      <c r="J12" s="2">
        <v>297823</v>
      </c>
      <c r="K12" s="2"/>
      <c r="L12" s="20" t="s">
        <v>49</v>
      </c>
      <c r="M12">
        <f t="shared" si="0"/>
        <v>44285.714285714283</v>
      </c>
      <c r="N12">
        <f t="shared" si="1"/>
        <v>6265.8571428571431</v>
      </c>
      <c r="O12">
        <f t="shared" si="2"/>
        <v>7811.4285714285716</v>
      </c>
      <c r="P12">
        <f t="shared" si="3"/>
        <v>7730.4285714285716</v>
      </c>
      <c r="Q12">
        <f t="shared" si="4"/>
        <v>6173.7142857142853</v>
      </c>
      <c r="R12">
        <f t="shared" si="5"/>
        <v>4835.5714285714284</v>
      </c>
      <c r="S12">
        <f t="shared" si="6"/>
        <v>4505.4285714285716</v>
      </c>
      <c r="T12">
        <f t="shared" si="7"/>
        <v>6963.2857142857147</v>
      </c>
      <c r="V12" s="19" t="s">
        <v>43</v>
      </c>
      <c r="W12" s="2">
        <v>10138</v>
      </c>
      <c r="X12" s="2">
        <v>15602</v>
      </c>
      <c r="Y12" s="2">
        <v>17467</v>
      </c>
      <c r="Z12" s="2">
        <v>18425</v>
      </c>
      <c r="AA12" s="2">
        <v>17705</v>
      </c>
      <c r="AB12" s="2">
        <v>13702</v>
      </c>
      <c r="AC12" s="2">
        <v>12739</v>
      </c>
      <c r="AD12" s="2">
        <v>105778</v>
      </c>
      <c r="AE12" s="2"/>
      <c r="AF12" s="20" t="s">
        <v>49</v>
      </c>
      <c r="AG12">
        <f t="shared" si="8"/>
        <v>17719.428571428572</v>
      </c>
      <c r="AH12">
        <f t="shared" si="9"/>
        <v>2572.1428571428573</v>
      </c>
      <c r="AI12">
        <f t="shared" si="10"/>
        <v>2904.1428571428573</v>
      </c>
      <c r="AJ12">
        <f t="shared" si="11"/>
        <v>3134.2857142857142</v>
      </c>
      <c r="AK12">
        <f t="shared" si="12"/>
        <v>2283.2857142857142</v>
      </c>
      <c r="AL12">
        <f t="shared" si="13"/>
        <v>2075.8571428571427</v>
      </c>
      <c r="AM12">
        <f t="shared" si="14"/>
        <v>1638.1428571428571</v>
      </c>
      <c r="AN12">
        <f t="shared" si="15"/>
        <v>3111.5714285714284</v>
      </c>
      <c r="AQ12" s="19" t="s">
        <v>54</v>
      </c>
      <c r="AR12" s="2">
        <v>18006</v>
      </c>
      <c r="AS12" s="2">
        <v>26807</v>
      </c>
      <c r="AT12" s="2">
        <v>29320</v>
      </c>
      <c r="AU12" s="2">
        <v>31500</v>
      </c>
      <c r="AV12" s="2">
        <v>29868</v>
      </c>
      <c r="AW12" s="2">
        <v>25575</v>
      </c>
      <c r="AX12" s="2">
        <v>21580</v>
      </c>
      <c r="AY12" s="2">
        <v>182656</v>
      </c>
      <c r="AZ12" s="2"/>
      <c r="BB12" s="72" t="s">
        <v>49</v>
      </c>
      <c r="BC12">
        <f t="shared" si="16"/>
        <v>26662</v>
      </c>
      <c r="BD12">
        <f t="shared" si="17"/>
        <v>3794.8571428571427</v>
      </c>
      <c r="BE12">
        <f t="shared" si="18"/>
        <v>4509.5714285714284</v>
      </c>
      <c r="BF12">
        <f t="shared" si="19"/>
        <v>4723.1428571428569</v>
      </c>
      <c r="BG12">
        <f t="shared" si="20"/>
        <v>3562.1428571428573</v>
      </c>
      <c r="BH12">
        <f t="shared" si="21"/>
        <v>3040.1428571428573</v>
      </c>
      <c r="BI12">
        <f t="shared" si="22"/>
        <v>2608.2857142857142</v>
      </c>
      <c r="BJ12">
        <f t="shared" si="23"/>
        <v>4423.8571428571431</v>
      </c>
    </row>
    <row r="13" spans="2:62" x14ac:dyDescent="0.35">
      <c r="B13" s="19" t="s">
        <v>44</v>
      </c>
      <c r="C13" s="2">
        <v>31269</v>
      </c>
      <c r="D13" s="2">
        <v>43555</v>
      </c>
      <c r="E13" s="2">
        <v>52196</v>
      </c>
      <c r="F13" s="2">
        <v>51408</v>
      </c>
      <c r="G13" s="2">
        <v>46087</v>
      </c>
      <c r="H13" s="2">
        <v>43100</v>
      </c>
      <c r="I13" s="2">
        <v>33312</v>
      </c>
      <c r="J13" s="2">
        <v>300927</v>
      </c>
      <c r="K13" s="2"/>
      <c r="L13" s="20" t="s">
        <v>50</v>
      </c>
      <c r="M13">
        <f t="shared" si="0"/>
        <v>44077.285714285717</v>
      </c>
      <c r="N13">
        <f t="shared" si="1"/>
        <v>6229.2857142857147</v>
      </c>
      <c r="O13">
        <f t="shared" si="2"/>
        <v>7667.7142857142853</v>
      </c>
      <c r="P13">
        <f t="shared" si="3"/>
        <v>7654.7142857142853</v>
      </c>
      <c r="Q13">
        <f t="shared" si="4"/>
        <v>6213.8571428571431</v>
      </c>
      <c r="R13">
        <f t="shared" si="5"/>
        <v>4833</v>
      </c>
      <c r="S13">
        <f t="shared" si="6"/>
        <v>4478.5714285714284</v>
      </c>
      <c r="T13">
        <f t="shared" si="7"/>
        <v>7000.1428571428569</v>
      </c>
      <c r="V13" s="19" t="s">
        <v>44</v>
      </c>
      <c r="W13" s="2">
        <v>10115</v>
      </c>
      <c r="X13" s="2">
        <v>16019</v>
      </c>
      <c r="Y13" s="2">
        <v>17322</v>
      </c>
      <c r="Z13" s="2">
        <v>18277</v>
      </c>
      <c r="AA13" s="2">
        <v>17416</v>
      </c>
      <c r="AB13" s="2">
        <v>13997</v>
      </c>
      <c r="AC13" s="2">
        <v>12835</v>
      </c>
      <c r="AD13" s="2">
        <v>105981</v>
      </c>
      <c r="AE13" s="2"/>
      <c r="AF13" s="20" t="s">
        <v>50</v>
      </c>
      <c r="AG13">
        <f t="shared" si="8"/>
        <v>17357.428571428572</v>
      </c>
      <c r="AH13">
        <f t="shared" si="9"/>
        <v>2500.4285714285716</v>
      </c>
      <c r="AI13">
        <f t="shared" si="10"/>
        <v>2830</v>
      </c>
      <c r="AJ13">
        <f t="shared" si="11"/>
        <v>3087</v>
      </c>
      <c r="AK13">
        <f t="shared" si="12"/>
        <v>2229.2857142857142</v>
      </c>
      <c r="AL13">
        <f t="shared" si="13"/>
        <v>2044.4285714285713</v>
      </c>
      <c r="AM13">
        <f t="shared" si="14"/>
        <v>1600.8571428571429</v>
      </c>
      <c r="AN13">
        <f t="shared" si="15"/>
        <v>3065.4285714285716</v>
      </c>
      <c r="AQ13" s="19" t="s">
        <v>43</v>
      </c>
      <c r="AR13" s="2">
        <v>16884</v>
      </c>
      <c r="AS13" s="2">
        <v>23937</v>
      </c>
      <c r="AT13" s="2">
        <v>28211</v>
      </c>
      <c r="AU13" s="2">
        <v>29187</v>
      </c>
      <c r="AV13" s="2">
        <v>26835</v>
      </c>
      <c r="AW13" s="2">
        <v>23085</v>
      </c>
      <c r="AX13" s="2">
        <v>19651</v>
      </c>
      <c r="AY13" s="2">
        <v>167790</v>
      </c>
      <c r="AZ13" s="2"/>
      <c r="BB13" s="72" t="s">
        <v>50</v>
      </c>
      <c r="BC13">
        <f t="shared" si="16"/>
        <v>26422</v>
      </c>
      <c r="BD13">
        <f t="shared" si="17"/>
        <v>3741.8571428571427</v>
      </c>
      <c r="BE13">
        <f t="shared" si="18"/>
        <v>4435.2857142857147</v>
      </c>
      <c r="BF13">
        <f t="shared" si="19"/>
        <v>4656.2857142857147</v>
      </c>
      <c r="BG13">
        <f t="shared" si="20"/>
        <v>3588.4285714285716</v>
      </c>
      <c r="BH13">
        <f t="shared" si="21"/>
        <v>2991.2857142857142</v>
      </c>
      <c r="BI13">
        <f t="shared" si="22"/>
        <v>2576.1428571428573</v>
      </c>
      <c r="BJ13">
        <f t="shared" si="23"/>
        <v>4432.7142857142853</v>
      </c>
    </row>
    <row r="14" spans="2:62" x14ac:dyDescent="0.35">
      <c r="B14" s="19" t="s">
        <v>45</v>
      </c>
      <c r="C14" s="2">
        <v>29118</v>
      </c>
      <c r="D14" s="2">
        <v>41285</v>
      </c>
      <c r="E14" s="2">
        <v>47553</v>
      </c>
      <c r="F14" s="2">
        <v>46751</v>
      </c>
      <c r="G14" s="2">
        <v>42017</v>
      </c>
      <c r="H14" s="2">
        <v>39340</v>
      </c>
      <c r="I14" s="2">
        <v>30280</v>
      </c>
      <c r="J14" s="2">
        <v>276344</v>
      </c>
      <c r="K14" s="2"/>
      <c r="L14" s="20" t="s">
        <v>51</v>
      </c>
      <c r="M14">
        <f t="shared" si="0"/>
        <v>44295.142857142855</v>
      </c>
      <c r="N14">
        <f t="shared" si="1"/>
        <v>6388.5714285714284</v>
      </c>
      <c r="O14">
        <f t="shared" si="2"/>
        <v>7583.1428571428569</v>
      </c>
      <c r="P14">
        <f t="shared" si="3"/>
        <v>7533.7142857142853</v>
      </c>
      <c r="Q14">
        <f t="shared" si="4"/>
        <v>6417.1428571428569</v>
      </c>
      <c r="R14">
        <f t="shared" si="5"/>
        <v>4883.7142857142853</v>
      </c>
      <c r="S14">
        <f t="shared" si="6"/>
        <v>4491.4285714285716</v>
      </c>
      <c r="T14">
        <f t="shared" si="7"/>
        <v>6997.4285714285716</v>
      </c>
      <c r="V14" s="19" t="s">
        <v>45</v>
      </c>
      <c r="W14" s="2">
        <v>9881</v>
      </c>
      <c r="X14" s="2">
        <v>15849</v>
      </c>
      <c r="Y14" s="2">
        <v>16195</v>
      </c>
      <c r="Z14" s="2">
        <v>17106</v>
      </c>
      <c r="AA14" s="2">
        <v>16603</v>
      </c>
      <c r="AB14" s="2">
        <v>13245</v>
      </c>
      <c r="AC14" s="2">
        <v>12049</v>
      </c>
      <c r="AD14" s="2">
        <v>100928</v>
      </c>
      <c r="AE14" s="2"/>
      <c r="AF14" s="20" t="s">
        <v>51</v>
      </c>
      <c r="AG14">
        <f t="shared" si="8"/>
        <v>17220</v>
      </c>
      <c r="AH14">
        <f t="shared" si="9"/>
        <v>2488.1428571428573</v>
      </c>
      <c r="AI14">
        <f t="shared" si="10"/>
        <v>2765.2857142857142</v>
      </c>
      <c r="AJ14">
        <f t="shared" si="11"/>
        <v>3039.1428571428573</v>
      </c>
      <c r="AK14">
        <f t="shared" si="12"/>
        <v>2245.1428571428573</v>
      </c>
      <c r="AL14">
        <f t="shared" si="13"/>
        <v>2060</v>
      </c>
      <c r="AM14">
        <f t="shared" si="14"/>
        <v>1590.7142857142858</v>
      </c>
      <c r="AN14">
        <f t="shared" si="15"/>
        <v>3031.5714285714284</v>
      </c>
      <c r="AQ14" s="19" t="s">
        <v>44</v>
      </c>
      <c r="AR14" s="2">
        <v>17005</v>
      </c>
      <c r="AS14" s="2">
        <v>25093</v>
      </c>
      <c r="AT14" s="2">
        <v>28425</v>
      </c>
      <c r="AU14" s="2">
        <v>29455</v>
      </c>
      <c r="AV14" s="2">
        <v>26986</v>
      </c>
      <c r="AW14" s="2">
        <v>23558</v>
      </c>
      <c r="AX14" s="2">
        <v>19679</v>
      </c>
      <c r="AY14" s="2">
        <v>170201</v>
      </c>
      <c r="AZ14" s="2"/>
      <c r="BB14" s="72" t="s">
        <v>51</v>
      </c>
      <c r="BC14">
        <f t="shared" si="16"/>
        <v>26299.857142857141</v>
      </c>
      <c r="BD14">
        <f t="shared" si="17"/>
        <v>3788.2857142857142</v>
      </c>
      <c r="BE14">
        <f t="shared" si="18"/>
        <v>4304.8571428571431</v>
      </c>
      <c r="BF14">
        <f t="shared" si="19"/>
        <v>4579</v>
      </c>
      <c r="BG14">
        <f t="shared" si="20"/>
        <v>3628.8571428571427</v>
      </c>
      <c r="BH14">
        <f t="shared" si="21"/>
        <v>3036.2857142857142</v>
      </c>
      <c r="BI14">
        <f t="shared" si="22"/>
        <v>2535.8571428571427</v>
      </c>
      <c r="BJ14">
        <f t="shared" si="23"/>
        <v>4426.7142857142853</v>
      </c>
    </row>
    <row r="15" spans="2:62" x14ac:dyDescent="0.35">
      <c r="B15" s="19" t="s">
        <v>46</v>
      </c>
      <c r="C15" s="2">
        <v>29568</v>
      </c>
      <c r="D15" s="2">
        <v>41655</v>
      </c>
      <c r="E15" s="2">
        <v>49168</v>
      </c>
      <c r="F15" s="2">
        <v>47191</v>
      </c>
      <c r="G15" s="2">
        <v>43558</v>
      </c>
      <c r="H15" s="2">
        <v>40986</v>
      </c>
      <c r="I15" s="2">
        <v>31296</v>
      </c>
      <c r="J15" s="2">
        <v>283422</v>
      </c>
      <c r="K15" s="2"/>
      <c r="L15" s="20" t="s">
        <v>52</v>
      </c>
      <c r="M15">
        <f t="shared" si="0"/>
        <v>44003.428571428572</v>
      </c>
      <c r="N15">
        <f t="shared" si="1"/>
        <v>6409.8571428571431</v>
      </c>
      <c r="O15">
        <f t="shared" si="2"/>
        <v>7564.4285714285716</v>
      </c>
      <c r="P15">
        <f t="shared" si="3"/>
        <v>7301.4285714285716</v>
      </c>
      <c r="Q15">
        <f t="shared" si="4"/>
        <v>6417.5714285714284</v>
      </c>
      <c r="R15">
        <f t="shared" si="5"/>
        <v>4862</v>
      </c>
      <c r="S15">
        <f t="shared" si="6"/>
        <v>4538.4285714285716</v>
      </c>
      <c r="T15">
        <f t="shared" si="7"/>
        <v>6909.7142857142853</v>
      </c>
      <c r="V15" s="19" t="s">
        <v>46</v>
      </c>
      <c r="W15" s="2">
        <v>10152</v>
      </c>
      <c r="X15" s="2">
        <v>16620</v>
      </c>
      <c r="Y15" s="2">
        <v>17002</v>
      </c>
      <c r="Z15" s="2">
        <v>17602</v>
      </c>
      <c r="AA15" s="2">
        <v>18068</v>
      </c>
      <c r="AB15" s="2">
        <v>14224</v>
      </c>
      <c r="AC15" s="2">
        <v>12749</v>
      </c>
      <c r="AD15" s="2">
        <v>106417</v>
      </c>
      <c r="AE15" s="2"/>
      <c r="AF15" s="20" t="s">
        <v>52</v>
      </c>
      <c r="AG15">
        <f t="shared" si="8"/>
        <v>16888.428571428572</v>
      </c>
      <c r="AH15">
        <f t="shared" si="9"/>
        <v>2495.2857142857142</v>
      </c>
      <c r="AI15">
        <f t="shared" si="10"/>
        <v>2617.7142857142858</v>
      </c>
      <c r="AJ15">
        <f t="shared" si="11"/>
        <v>2870.8571428571427</v>
      </c>
      <c r="AK15">
        <f t="shared" si="12"/>
        <v>2260.1428571428573</v>
      </c>
      <c r="AL15">
        <f t="shared" si="13"/>
        <v>2050.2857142857142</v>
      </c>
      <c r="AM15">
        <f t="shared" si="14"/>
        <v>1580.7142857142858</v>
      </c>
      <c r="AN15">
        <f t="shared" si="15"/>
        <v>3013.4285714285716</v>
      </c>
      <c r="AQ15" s="19" t="s">
        <v>45</v>
      </c>
      <c r="AR15" s="2">
        <v>16304</v>
      </c>
      <c r="AS15" s="2">
        <v>24306</v>
      </c>
      <c r="AT15" s="2">
        <v>26617</v>
      </c>
      <c r="AU15" s="2">
        <v>27433</v>
      </c>
      <c r="AV15" s="2">
        <v>25746</v>
      </c>
      <c r="AW15" s="2">
        <v>22176</v>
      </c>
      <c r="AX15" s="2">
        <v>18555</v>
      </c>
      <c r="AY15" s="2">
        <v>161137</v>
      </c>
      <c r="AZ15" s="2"/>
      <c r="BB15" s="72" t="s">
        <v>52</v>
      </c>
      <c r="BC15">
        <f t="shared" si="16"/>
        <v>25964.571428571428</v>
      </c>
      <c r="BD15">
        <f t="shared" si="17"/>
        <v>3790.2857142857142</v>
      </c>
      <c r="BE15">
        <f t="shared" si="18"/>
        <v>4222.1428571428569</v>
      </c>
      <c r="BF15">
        <f t="shared" si="19"/>
        <v>4305.5714285714284</v>
      </c>
      <c r="BG15">
        <f t="shared" si="20"/>
        <v>3716.2857142857142</v>
      </c>
      <c r="BH15">
        <f t="shared" si="21"/>
        <v>3011.8571428571427</v>
      </c>
      <c r="BI15">
        <f t="shared" si="22"/>
        <v>2577.8571428571427</v>
      </c>
      <c r="BJ15">
        <f t="shared" si="23"/>
        <v>4340.5714285714284</v>
      </c>
    </row>
    <row r="16" spans="2:62" x14ac:dyDescent="0.35">
      <c r="B16" s="19" t="s">
        <v>47</v>
      </c>
      <c r="C16" s="2">
        <v>32388</v>
      </c>
      <c r="D16" s="2">
        <v>44574</v>
      </c>
      <c r="E16" s="2">
        <v>55102</v>
      </c>
      <c r="F16" s="2">
        <v>54063</v>
      </c>
      <c r="G16" s="2">
        <v>48782</v>
      </c>
      <c r="H16" s="2">
        <v>45395</v>
      </c>
      <c r="I16" s="2">
        <v>34207</v>
      </c>
      <c r="J16" s="2">
        <v>314511</v>
      </c>
      <c r="K16" s="2"/>
      <c r="L16" s="20" t="s">
        <v>53</v>
      </c>
      <c r="M16">
        <f>VLOOKUP($L16,$B$7:$J$1048576,9,FALSE)/7</f>
        <v>43949.571428571428</v>
      </c>
      <c r="N16">
        <f t="shared" si="1"/>
        <v>6385.7142857142853</v>
      </c>
      <c r="O16">
        <f t="shared" si="2"/>
        <v>7493.1428571428569</v>
      </c>
      <c r="P16">
        <f t="shared" si="3"/>
        <v>7491.1428571428569</v>
      </c>
      <c r="Q16">
        <f t="shared" si="4"/>
        <v>6366.5714285714284</v>
      </c>
      <c r="R16">
        <f t="shared" si="5"/>
        <v>4830.4285714285716</v>
      </c>
      <c r="S16">
        <f t="shared" si="6"/>
        <v>4557</v>
      </c>
      <c r="T16">
        <f t="shared" si="7"/>
        <v>6825.5714285714284</v>
      </c>
      <c r="V16" s="19" t="s">
        <v>47</v>
      </c>
      <c r="W16" s="2">
        <v>11065</v>
      </c>
      <c r="X16" s="2">
        <v>18075</v>
      </c>
      <c r="Y16" s="2">
        <v>19254</v>
      </c>
      <c r="Z16" s="2">
        <v>19897</v>
      </c>
      <c r="AA16" s="2">
        <v>20363</v>
      </c>
      <c r="AB16" s="2">
        <v>15971</v>
      </c>
      <c r="AC16" s="2">
        <v>13751</v>
      </c>
      <c r="AD16" s="2">
        <v>118376</v>
      </c>
      <c r="AE16" s="2"/>
      <c r="AF16" s="20" t="s">
        <v>53</v>
      </c>
      <c r="AG16">
        <f t="shared" si="8"/>
        <v>16840</v>
      </c>
      <c r="AH16">
        <f t="shared" si="9"/>
        <v>2529.4285714285716</v>
      </c>
      <c r="AI16">
        <f t="shared" si="10"/>
        <v>2616.7142857142858</v>
      </c>
      <c r="AJ16">
        <f t="shared" si="11"/>
        <v>2847.5714285714284</v>
      </c>
      <c r="AK16">
        <f t="shared" si="12"/>
        <v>2296.1428571428573</v>
      </c>
      <c r="AL16">
        <f t="shared" si="13"/>
        <v>2011.5714285714287</v>
      </c>
      <c r="AM16">
        <f t="shared" si="14"/>
        <v>1613.5714285714287</v>
      </c>
      <c r="AN16">
        <f t="shared" si="15"/>
        <v>2925</v>
      </c>
      <c r="AQ16" s="19" t="s">
        <v>46</v>
      </c>
      <c r="AR16" s="2">
        <v>16592</v>
      </c>
      <c r="AS16" s="2">
        <v>25052</v>
      </c>
      <c r="AT16" s="2">
        <v>27586</v>
      </c>
      <c r="AU16" s="2">
        <v>27455</v>
      </c>
      <c r="AV16" s="2">
        <v>26700</v>
      </c>
      <c r="AW16" s="2">
        <v>23286</v>
      </c>
      <c r="AX16" s="2">
        <v>18949</v>
      </c>
      <c r="AY16" s="2">
        <v>165620</v>
      </c>
      <c r="AZ16" s="2"/>
      <c r="BB16" s="72" t="s">
        <v>53</v>
      </c>
      <c r="BC16">
        <f t="shared" si="16"/>
        <v>25999.428571428572</v>
      </c>
      <c r="BD16">
        <f t="shared" si="17"/>
        <v>3815.8571428571427</v>
      </c>
      <c r="BE16">
        <f t="shared" si="18"/>
        <v>4171.4285714285716</v>
      </c>
      <c r="BF16">
        <f t="shared" si="19"/>
        <v>4451.8571428571431</v>
      </c>
      <c r="BG16">
        <f t="shared" si="20"/>
        <v>3704.4285714285716</v>
      </c>
      <c r="BH16">
        <f t="shared" si="21"/>
        <v>2997.1428571428573</v>
      </c>
      <c r="BI16">
        <f t="shared" si="22"/>
        <v>2575</v>
      </c>
      <c r="BJ16">
        <f t="shared" si="23"/>
        <v>4283.7142857142853</v>
      </c>
    </row>
    <row r="17" spans="2:62" x14ac:dyDescent="0.35">
      <c r="B17" s="19" t="s">
        <v>48</v>
      </c>
      <c r="C17" s="2">
        <v>31956</v>
      </c>
      <c r="D17" s="2">
        <v>44328</v>
      </c>
      <c r="E17" s="2">
        <v>54896</v>
      </c>
      <c r="F17" s="2">
        <v>54167</v>
      </c>
      <c r="G17" s="2">
        <v>48843</v>
      </c>
      <c r="H17" s="2">
        <v>43776</v>
      </c>
      <c r="I17" s="2">
        <v>34102</v>
      </c>
      <c r="J17" s="2">
        <v>312068</v>
      </c>
      <c r="K17" s="2"/>
      <c r="L17" s="20" t="s">
        <v>54</v>
      </c>
      <c r="M17">
        <f t="shared" si="0"/>
        <v>44372.285714285717</v>
      </c>
      <c r="N17">
        <f t="shared" si="1"/>
        <v>6370.1428571428569</v>
      </c>
      <c r="O17">
        <f t="shared" si="2"/>
        <v>7544</v>
      </c>
      <c r="P17">
        <f t="shared" si="3"/>
        <v>7665.1428571428569</v>
      </c>
      <c r="Q17">
        <f t="shared" si="4"/>
        <v>6394</v>
      </c>
      <c r="R17">
        <f t="shared" si="5"/>
        <v>4971</v>
      </c>
      <c r="S17">
        <f t="shared" si="6"/>
        <v>4593</v>
      </c>
      <c r="T17">
        <f t="shared" si="7"/>
        <v>6835</v>
      </c>
      <c r="V17" s="19" t="s">
        <v>48</v>
      </c>
      <c r="W17" s="2">
        <v>11265</v>
      </c>
      <c r="X17" s="2">
        <v>18333</v>
      </c>
      <c r="Y17" s="2">
        <v>20124</v>
      </c>
      <c r="Z17" s="2">
        <v>21247</v>
      </c>
      <c r="AA17" s="2">
        <v>21494</v>
      </c>
      <c r="AB17" s="2">
        <v>16058</v>
      </c>
      <c r="AC17" s="2">
        <v>14268</v>
      </c>
      <c r="AD17" s="2">
        <v>122789</v>
      </c>
      <c r="AE17" s="2"/>
      <c r="AF17" s="20" t="s">
        <v>54</v>
      </c>
      <c r="AG17">
        <f t="shared" si="8"/>
        <v>16971.714285714286</v>
      </c>
      <c r="AH17">
        <f t="shared" si="9"/>
        <v>2613</v>
      </c>
      <c r="AI17">
        <f t="shared" si="10"/>
        <v>2583.1428571428573</v>
      </c>
      <c r="AJ17">
        <f t="shared" si="11"/>
        <v>2916</v>
      </c>
      <c r="AK17">
        <f t="shared" si="12"/>
        <v>2287.1428571428573</v>
      </c>
      <c r="AL17">
        <f t="shared" si="13"/>
        <v>2089.1428571428573</v>
      </c>
      <c r="AM17">
        <f t="shared" si="14"/>
        <v>1587</v>
      </c>
      <c r="AN17">
        <f t="shared" si="15"/>
        <v>2896.2857142857142</v>
      </c>
      <c r="AQ17" s="19" t="s">
        <v>47</v>
      </c>
      <c r="AR17" s="2">
        <v>18078</v>
      </c>
      <c r="AS17" s="2">
        <v>27068</v>
      </c>
      <c r="AT17" s="2">
        <v>31068</v>
      </c>
      <c r="AU17" s="2">
        <v>31066</v>
      </c>
      <c r="AV17" s="2">
        <v>30153</v>
      </c>
      <c r="AW17" s="2">
        <v>26199</v>
      </c>
      <c r="AX17" s="2">
        <v>20837</v>
      </c>
      <c r="AY17" s="2">
        <v>184469</v>
      </c>
      <c r="AZ17" s="2"/>
      <c r="BB17" s="72" t="s">
        <v>54</v>
      </c>
      <c r="BC17">
        <f t="shared" si="16"/>
        <v>26093.714285714286</v>
      </c>
      <c r="BD17">
        <f t="shared" si="17"/>
        <v>3829.5714285714284</v>
      </c>
      <c r="BE17">
        <f t="shared" si="18"/>
        <v>4188.5714285714284</v>
      </c>
      <c r="BF17">
        <f t="shared" si="19"/>
        <v>4500</v>
      </c>
      <c r="BG17">
        <f t="shared" si="20"/>
        <v>3653.5714285714284</v>
      </c>
      <c r="BH17">
        <f t="shared" si="21"/>
        <v>3082.8571428571427</v>
      </c>
      <c r="BI17">
        <f t="shared" si="22"/>
        <v>2572.2857142857142</v>
      </c>
      <c r="BJ17">
        <f t="shared" si="23"/>
        <v>4266.8571428571431</v>
      </c>
    </row>
    <row r="18" spans="2:62" x14ac:dyDescent="0.35">
      <c r="B18" s="19" t="s">
        <v>49</v>
      </c>
      <c r="C18" s="2">
        <v>31538</v>
      </c>
      <c r="D18" s="2">
        <v>43861</v>
      </c>
      <c r="E18" s="2">
        <v>54680</v>
      </c>
      <c r="F18" s="2">
        <v>54113</v>
      </c>
      <c r="G18" s="2">
        <v>48743</v>
      </c>
      <c r="H18" s="2">
        <v>43216</v>
      </c>
      <c r="I18" s="2">
        <v>33849</v>
      </c>
      <c r="J18" s="2">
        <v>310000</v>
      </c>
      <c r="K18" s="2"/>
      <c r="L18" s="20"/>
      <c r="V18" s="19" t="s">
        <v>49</v>
      </c>
      <c r="W18" s="2">
        <v>11467</v>
      </c>
      <c r="X18" s="2">
        <v>18005</v>
      </c>
      <c r="Y18" s="2">
        <v>20329</v>
      </c>
      <c r="Z18" s="2">
        <v>21940</v>
      </c>
      <c r="AA18" s="2">
        <v>21781</v>
      </c>
      <c r="AB18" s="2">
        <v>15983</v>
      </c>
      <c r="AC18" s="2">
        <v>14531</v>
      </c>
      <c r="AD18" s="2">
        <v>124036</v>
      </c>
      <c r="AE18" s="2"/>
      <c r="AF18" s="20"/>
      <c r="AQ18" s="19" t="s">
        <v>48</v>
      </c>
      <c r="AR18" s="2">
        <v>18403</v>
      </c>
      <c r="AS18" s="2">
        <v>27115</v>
      </c>
      <c r="AT18" s="2">
        <v>32074</v>
      </c>
      <c r="AU18" s="2">
        <v>32988</v>
      </c>
      <c r="AV18" s="2">
        <v>31649</v>
      </c>
      <c r="AW18" s="2">
        <v>25745</v>
      </c>
      <c r="AX18" s="2">
        <v>21380</v>
      </c>
      <c r="AY18" s="2">
        <v>189354</v>
      </c>
      <c r="AZ18" s="2"/>
      <c r="BB18" s="72"/>
    </row>
    <row r="19" spans="2:62" x14ac:dyDescent="0.35">
      <c r="B19" s="19" t="s">
        <v>50</v>
      </c>
      <c r="C19" s="2">
        <v>31350</v>
      </c>
      <c r="D19" s="2">
        <v>43605</v>
      </c>
      <c r="E19" s="2">
        <v>53674</v>
      </c>
      <c r="F19" s="2">
        <v>53583</v>
      </c>
      <c r="G19" s="2">
        <v>49001</v>
      </c>
      <c r="H19" s="2">
        <v>43497</v>
      </c>
      <c r="I19" s="2">
        <v>33831</v>
      </c>
      <c r="J19" s="2">
        <v>308541</v>
      </c>
      <c r="K19" s="2"/>
      <c r="V19" s="19" t="s">
        <v>50</v>
      </c>
      <c r="W19" s="2">
        <v>11206</v>
      </c>
      <c r="X19" s="2">
        <v>17503</v>
      </c>
      <c r="Y19" s="2">
        <v>19810</v>
      </c>
      <c r="Z19" s="2">
        <v>21609</v>
      </c>
      <c r="AA19" s="2">
        <v>21458</v>
      </c>
      <c r="AB19" s="2">
        <v>15605</v>
      </c>
      <c r="AC19" s="2">
        <v>14311</v>
      </c>
      <c r="AD19" s="2">
        <v>121502</v>
      </c>
      <c r="AE19" s="2"/>
      <c r="AQ19" s="19" t="s">
        <v>49</v>
      </c>
      <c r="AR19" s="2">
        <v>18258</v>
      </c>
      <c r="AS19" s="2">
        <v>26564</v>
      </c>
      <c r="AT19" s="2">
        <v>31567</v>
      </c>
      <c r="AU19" s="2">
        <v>33062</v>
      </c>
      <c r="AV19" s="2">
        <v>30967</v>
      </c>
      <c r="AW19" s="2">
        <v>24935</v>
      </c>
      <c r="AX19" s="2">
        <v>21281</v>
      </c>
      <c r="AY19" s="2">
        <v>186634</v>
      </c>
      <c r="AZ19" s="2"/>
    </row>
    <row r="20" spans="2:62" x14ac:dyDescent="0.35">
      <c r="B20" s="19" t="s">
        <v>38</v>
      </c>
      <c r="C20" s="2">
        <v>405942</v>
      </c>
      <c r="D20" s="2">
        <v>565496</v>
      </c>
      <c r="E20" s="2">
        <v>682072</v>
      </c>
      <c r="F20" s="2">
        <v>672295</v>
      </c>
      <c r="G20" s="2">
        <v>610485</v>
      </c>
      <c r="H20" s="2">
        <v>562541</v>
      </c>
      <c r="I20" s="2">
        <v>433400</v>
      </c>
      <c r="J20" s="2">
        <v>3932231</v>
      </c>
      <c r="K20" s="2"/>
      <c r="V20" s="19" t="s">
        <v>38</v>
      </c>
      <c r="W20" s="2">
        <v>140142</v>
      </c>
      <c r="X20" s="2">
        <v>222392</v>
      </c>
      <c r="Y20" s="2">
        <v>238620</v>
      </c>
      <c r="Z20" s="2">
        <v>256035</v>
      </c>
      <c r="AA20" s="2">
        <v>255493</v>
      </c>
      <c r="AB20" s="2">
        <v>195894</v>
      </c>
      <c r="AC20" s="2">
        <v>177376</v>
      </c>
      <c r="AD20" s="2">
        <v>1485952</v>
      </c>
      <c r="AE20" s="2"/>
      <c r="AQ20" s="19" t="s">
        <v>50</v>
      </c>
      <c r="AR20" s="2">
        <v>18033</v>
      </c>
      <c r="AS20" s="2">
        <v>26193</v>
      </c>
      <c r="AT20" s="2">
        <v>31047</v>
      </c>
      <c r="AU20" s="2">
        <v>32594</v>
      </c>
      <c r="AV20" s="2">
        <v>31029</v>
      </c>
      <c r="AW20" s="2">
        <v>25119</v>
      </c>
      <c r="AX20" s="2">
        <v>20939</v>
      </c>
      <c r="AY20" s="2">
        <v>184954</v>
      </c>
      <c r="AZ20" s="2"/>
    </row>
    <row r="21" spans="2:62" x14ac:dyDescent="0.35">
      <c r="AQ21" s="19" t="s">
        <v>38</v>
      </c>
      <c r="AR21" s="2">
        <v>228075</v>
      </c>
      <c r="AS21" s="2">
        <v>335306</v>
      </c>
      <c r="AT21" s="2">
        <v>383081</v>
      </c>
      <c r="AU21" s="2">
        <v>396914</v>
      </c>
      <c r="AV21" s="2">
        <v>378009</v>
      </c>
      <c r="AW21" s="2">
        <v>319364</v>
      </c>
      <c r="AX21" s="2">
        <v>265709</v>
      </c>
      <c r="AY21" s="2">
        <v>2306458</v>
      </c>
      <c r="AZ21" s="2"/>
    </row>
    <row r="30" spans="2:62" x14ac:dyDescent="0.35">
      <c r="AQ30" s="19"/>
      <c r="AR30" s="2"/>
      <c r="AS30" s="2"/>
      <c r="AT30" s="2"/>
      <c r="AU30" s="2"/>
      <c r="AV30" s="2"/>
      <c r="AW30" s="2"/>
      <c r="AX30" s="2"/>
      <c r="AY30" s="2"/>
      <c r="AZ30" s="2"/>
    </row>
    <row r="31" spans="2:62" x14ac:dyDescent="0.35">
      <c r="AQ31" s="19"/>
      <c r="AR31" s="2"/>
      <c r="AS31" s="2"/>
      <c r="AT31" s="2"/>
      <c r="AU31" s="2"/>
      <c r="AV31" s="2"/>
      <c r="AW31" s="2"/>
      <c r="AX31" s="2"/>
      <c r="AY31" s="2"/>
      <c r="AZ31" s="2"/>
    </row>
    <row r="32" spans="2:62" x14ac:dyDescent="0.35">
      <c r="AQ32" s="19"/>
      <c r="AR32" s="2"/>
      <c r="AS32" s="2"/>
      <c r="AT32" s="2"/>
      <c r="AU32" s="2"/>
      <c r="AV32" s="2"/>
      <c r="AW32" s="2"/>
      <c r="AX32" s="2"/>
      <c r="AY32" s="2"/>
      <c r="AZ32" s="2"/>
    </row>
    <row r="33" spans="43:52" x14ac:dyDescent="0.35">
      <c r="AQ33" s="19"/>
      <c r="AR33" s="2"/>
      <c r="AS33" s="2"/>
      <c r="AT33" s="2"/>
      <c r="AU33" s="2"/>
      <c r="AV33" s="2"/>
      <c r="AW33" s="2"/>
      <c r="AX33" s="2"/>
      <c r="AY33" s="2"/>
      <c r="AZ33" s="2"/>
    </row>
    <row r="34" spans="43:52" x14ac:dyDescent="0.35">
      <c r="AQ34" s="19"/>
      <c r="AR34" s="2"/>
      <c r="AS34" s="2"/>
      <c r="AT34" s="2"/>
      <c r="AU34" s="2"/>
      <c r="AV34" s="2"/>
      <c r="AW34" s="2"/>
      <c r="AX34" s="2"/>
      <c r="AY34" s="2"/>
      <c r="AZ34" s="2"/>
    </row>
    <row r="35" spans="43:52" x14ac:dyDescent="0.35">
      <c r="AQ35" s="19"/>
      <c r="AR35" s="2"/>
      <c r="AS35" s="2"/>
      <c r="AT35" s="2"/>
      <c r="AU35" s="2"/>
      <c r="AV35" s="2"/>
      <c r="AW35" s="2"/>
      <c r="AX35" s="2"/>
      <c r="AY35" s="2"/>
      <c r="AZ35" s="2"/>
    </row>
    <row r="36" spans="43:52" x14ac:dyDescent="0.35">
      <c r="AQ36" s="19"/>
      <c r="AR36" s="2"/>
      <c r="AS36" s="2"/>
      <c r="AT36" s="2"/>
      <c r="AU36" s="2"/>
      <c r="AV36" s="2"/>
      <c r="AW36" s="2"/>
      <c r="AX36" s="2"/>
      <c r="AY36" s="2"/>
      <c r="AZ36" s="2"/>
    </row>
    <row r="37" spans="43:52" x14ac:dyDescent="0.35">
      <c r="AQ37" s="19"/>
      <c r="AR37" s="2"/>
      <c r="AS37" s="2"/>
      <c r="AT37" s="2"/>
      <c r="AU37" s="2"/>
      <c r="AV37" s="2"/>
      <c r="AW37" s="2"/>
      <c r="AX37" s="2"/>
      <c r="AY37" s="2"/>
      <c r="AZ37" s="2"/>
    </row>
    <row r="38" spans="43:52" x14ac:dyDescent="0.35">
      <c r="AQ38" s="19"/>
      <c r="AR38" s="2"/>
      <c r="AS38" s="2"/>
      <c r="AT38" s="2"/>
      <c r="AU38" s="2"/>
      <c r="AV38" s="2"/>
      <c r="AW38" s="2"/>
      <c r="AX38" s="2"/>
      <c r="AY38" s="2"/>
      <c r="AZ38" s="2"/>
    </row>
    <row r="39" spans="43:52" x14ac:dyDescent="0.35">
      <c r="AQ39" s="19"/>
      <c r="AR39" s="2"/>
      <c r="AS39" s="2"/>
      <c r="AT39" s="2"/>
      <c r="AU39" s="2"/>
      <c r="AV39" s="2"/>
      <c r="AW39" s="2"/>
      <c r="AX39" s="2"/>
      <c r="AY39" s="2"/>
      <c r="AZ39" s="2"/>
    </row>
    <row r="40" spans="43:52" x14ac:dyDescent="0.35">
      <c r="AQ40" s="19"/>
      <c r="AR40" s="2"/>
      <c r="AS40" s="2"/>
      <c r="AT40" s="2"/>
      <c r="AU40" s="2"/>
      <c r="AV40" s="2"/>
      <c r="AW40" s="2"/>
      <c r="AX40" s="2"/>
      <c r="AY40" s="2"/>
      <c r="AZ40" s="2"/>
    </row>
    <row r="41" spans="43:52" x14ac:dyDescent="0.35">
      <c r="AQ41" s="19"/>
      <c r="AR41" s="2"/>
      <c r="AS41" s="2"/>
      <c r="AT41" s="2"/>
      <c r="AU41" s="2"/>
      <c r="AV41" s="2"/>
      <c r="AW41" s="2"/>
      <c r="AX41" s="2"/>
      <c r="AY41" s="2"/>
      <c r="AZ41" s="2"/>
    </row>
    <row r="42" spans="43:52" x14ac:dyDescent="0.35">
      <c r="AQ42" s="19"/>
      <c r="AR42" s="2"/>
      <c r="AS42" s="2"/>
      <c r="AT42" s="2"/>
      <c r="AU42" s="2"/>
      <c r="AV42" s="2"/>
      <c r="AW42" s="2"/>
      <c r="AX42" s="2"/>
      <c r="AY42" s="2"/>
      <c r="AZ42" s="2"/>
    </row>
    <row r="43" spans="43:52" x14ac:dyDescent="0.35">
      <c r="AQ43" s="19"/>
      <c r="AR43" s="2"/>
      <c r="AS43" s="2"/>
      <c r="AT43" s="2"/>
      <c r="AU43" s="2"/>
      <c r="AV43" s="2"/>
      <c r="AW43" s="2"/>
      <c r="AX43" s="2"/>
      <c r="AY43" s="2"/>
      <c r="AZ43" s="2"/>
    </row>
    <row r="44" spans="43:52" x14ac:dyDescent="0.35">
      <c r="AQ44" s="19"/>
      <c r="AR44" s="2"/>
      <c r="AS44" s="2"/>
      <c r="AT44" s="2"/>
      <c r="AU44" s="2"/>
      <c r="AV44" s="2"/>
      <c r="AW44" s="2"/>
      <c r="AX44" s="2"/>
      <c r="AY44" s="2"/>
      <c r="AZ44" s="2"/>
    </row>
  </sheetData>
  <mergeCells count="3">
    <mergeCell ref="B1:Q1"/>
    <mergeCell ref="V1:AK1"/>
    <mergeCell ref="AQ1:BG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CU147"/>
  <sheetViews>
    <sheetView topLeftCell="R1" zoomScale="55" zoomScaleNormal="55" workbookViewId="0">
      <selection activeCell="C6" sqref="C6"/>
    </sheetView>
  </sheetViews>
  <sheetFormatPr defaultRowHeight="14.5" x14ac:dyDescent="0.35"/>
  <cols>
    <col min="2" max="2" width="19.1796875" bestFit="1" customWidth="1"/>
    <col min="3" max="3" width="36.81640625" bestFit="1" customWidth="1"/>
    <col min="7" max="7" width="36.81640625" bestFit="1" customWidth="1"/>
    <col min="8" max="8" width="22.6328125" bestFit="1" customWidth="1"/>
    <col min="9" max="9" width="10.36328125" bestFit="1" customWidth="1"/>
    <col min="10" max="10" width="12.54296875" bestFit="1" customWidth="1"/>
    <col min="11" max="11" width="31.36328125" bestFit="1" customWidth="1"/>
    <col min="12" max="12" width="15" bestFit="1" customWidth="1"/>
    <col min="13" max="13" width="14.26953125" bestFit="1" customWidth="1"/>
    <col min="14" max="14" width="15" bestFit="1" customWidth="1"/>
    <col min="15" max="15" width="15.54296875" bestFit="1" customWidth="1"/>
    <col min="16" max="16" width="11.26953125" customWidth="1"/>
    <col min="29" max="29" width="82.6328125" bestFit="1" customWidth="1"/>
    <col min="30" max="30" width="22.6328125" bestFit="1" customWidth="1"/>
    <col min="31" max="33" width="10.36328125" bestFit="1" customWidth="1"/>
    <col min="34" max="34" width="10.08984375" bestFit="1" customWidth="1"/>
    <col min="35" max="35" width="10.36328125" bestFit="1" customWidth="1"/>
    <col min="36" max="36" width="10.08984375" bestFit="1" customWidth="1"/>
    <col min="37" max="38" width="10.36328125" bestFit="1" customWidth="1"/>
    <col min="39" max="39" width="11.26953125" bestFit="1" customWidth="1"/>
    <col min="40" max="40" width="10.7265625" bestFit="1" customWidth="1"/>
    <col min="41" max="42" width="11.26953125" bestFit="1" customWidth="1"/>
    <col min="43" max="43" width="7.7265625" customWidth="1"/>
    <col min="45" max="45" width="19.1796875" bestFit="1" customWidth="1"/>
    <col min="46" max="46" width="36.81640625" bestFit="1" customWidth="1"/>
    <col min="51" max="51" width="19.1796875" bestFit="1" customWidth="1"/>
    <col min="52" max="52" width="43.453125" bestFit="1" customWidth="1"/>
    <col min="56" max="56" width="43.453125" bestFit="1" customWidth="1"/>
    <col min="57" max="57" width="22.6328125" bestFit="1" customWidth="1"/>
    <col min="58" max="58" width="10.36328125" bestFit="1" customWidth="1"/>
    <col min="59" max="59" width="12.54296875" bestFit="1" customWidth="1"/>
    <col min="60" max="60" width="31.36328125" bestFit="1" customWidth="1"/>
    <col min="61" max="61" width="15" bestFit="1" customWidth="1"/>
    <col min="62" max="62" width="14.26953125" bestFit="1" customWidth="1"/>
    <col min="63" max="63" width="15" bestFit="1" customWidth="1"/>
    <col min="64" max="64" width="15.54296875" bestFit="1" customWidth="1"/>
    <col min="65" max="66" width="11.26953125" customWidth="1"/>
    <col min="78" max="78" width="7.7265625" customWidth="1"/>
    <col min="79" max="79" width="82.6328125" bestFit="1" customWidth="1"/>
    <col min="80" max="80" width="22.6328125" bestFit="1" customWidth="1"/>
    <col min="81" max="83" width="10.36328125" bestFit="1" customWidth="1"/>
    <col min="84" max="84" width="10.08984375" bestFit="1" customWidth="1"/>
    <col min="85" max="85" width="10.36328125" bestFit="1" customWidth="1"/>
    <col min="86" max="86" width="10.08984375" bestFit="1" customWidth="1"/>
    <col min="87" max="88" width="10.36328125" bestFit="1" customWidth="1"/>
    <col min="89" max="89" width="11.26953125" bestFit="1" customWidth="1"/>
    <col min="90" max="90" width="10.7265625" bestFit="1" customWidth="1"/>
    <col min="91" max="92" width="11.26953125" bestFit="1" customWidth="1"/>
    <col min="93" max="94" width="7.7265625" customWidth="1"/>
    <col min="96" max="96" width="19.1796875" bestFit="1" customWidth="1"/>
    <col min="97" max="97" width="43.453125" bestFit="1" customWidth="1"/>
  </cols>
  <sheetData>
    <row r="1" spans="2:99" s="17" customFormat="1" x14ac:dyDescent="0.35">
      <c r="B1" s="43" t="s">
        <v>270</v>
      </c>
      <c r="C1" s="50"/>
      <c r="D1" s="37"/>
      <c r="E1" s="37"/>
      <c r="F1" s="37"/>
      <c r="G1" s="192" t="s">
        <v>271</v>
      </c>
      <c r="H1" s="192"/>
      <c r="I1" s="192"/>
      <c r="J1" s="192"/>
      <c r="K1" s="192"/>
      <c r="L1" s="192"/>
      <c r="M1" s="192"/>
      <c r="N1" s="192"/>
      <c r="O1" s="192"/>
      <c r="P1" s="192"/>
      <c r="Q1" s="192"/>
      <c r="R1" s="192"/>
      <c r="S1" s="192"/>
      <c r="T1" s="192"/>
      <c r="U1" s="192"/>
      <c r="V1" s="192"/>
      <c r="W1" s="192"/>
      <c r="X1" s="192"/>
      <c r="Y1" s="192"/>
      <c r="Z1" s="37"/>
      <c r="AA1" s="37"/>
      <c r="AB1" s="37"/>
      <c r="AC1" s="191" t="s">
        <v>272</v>
      </c>
      <c r="AD1" s="191"/>
      <c r="AE1" s="191"/>
      <c r="AF1" s="191"/>
      <c r="AG1" s="191"/>
      <c r="AH1" s="191"/>
      <c r="AI1" s="191"/>
      <c r="AJ1" s="191"/>
      <c r="AK1" s="191"/>
      <c r="AL1" s="191"/>
      <c r="AM1" s="191"/>
      <c r="AN1" s="191"/>
      <c r="AO1" s="191"/>
      <c r="AP1" s="191"/>
      <c r="AQ1" s="191"/>
      <c r="AR1" s="37"/>
      <c r="AS1" s="191" t="s">
        <v>273</v>
      </c>
      <c r="AT1" s="191"/>
      <c r="AU1" s="191"/>
      <c r="AV1" s="191"/>
      <c r="AX1" s="37"/>
      <c r="AY1" s="43" t="s">
        <v>274</v>
      </c>
      <c r="AZ1" s="46"/>
      <c r="BA1" s="46"/>
      <c r="BB1" s="37"/>
      <c r="BC1" s="37"/>
      <c r="BD1" s="192" t="s">
        <v>314</v>
      </c>
      <c r="BE1" s="192"/>
      <c r="BF1" s="192"/>
      <c r="BG1" s="192"/>
      <c r="BH1" s="192"/>
      <c r="BI1" s="192"/>
      <c r="BJ1" s="192"/>
      <c r="BK1" s="192"/>
      <c r="BL1" s="192"/>
      <c r="BM1" s="192"/>
      <c r="BN1" s="192"/>
      <c r="BO1" s="192"/>
      <c r="BP1" s="192"/>
      <c r="BQ1" s="192"/>
      <c r="BR1" s="192"/>
      <c r="BS1" s="192"/>
      <c r="BT1" s="192"/>
      <c r="BU1" s="192"/>
      <c r="BV1" s="192"/>
      <c r="BW1" s="112"/>
      <c r="BX1" s="112"/>
      <c r="BY1" s="37"/>
      <c r="BZ1" s="37"/>
      <c r="CA1" s="191" t="s">
        <v>313</v>
      </c>
      <c r="CB1" s="191"/>
      <c r="CC1" s="191"/>
      <c r="CD1" s="191"/>
      <c r="CE1" s="191"/>
      <c r="CF1" s="191"/>
      <c r="CG1" s="191"/>
      <c r="CH1" s="191"/>
      <c r="CI1" s="191"/>
      <c r="CJ1" s="191"/>
      <c r="CK1" s="191"/>
      <c r="CL1" s="191"/>
      <c r="CM1" s="191"/>
      <c r="CN1" s="191"/>
      <c r="CO1" s="191"/>
      <c r="CP1" s="37"/>
      <c r="CR1" s="191" t="s">
        <v>275</v>
      </c>
      <c r="CS1" s="191"/>
      <c r="CT1" s="191"/>
      <c r="CU1" s="191"/>
    </row>
    <row r="2" spans="2:99" x14ac:dyDescent="0.35">
      <c r="BZ2" s="42"/>
      <c r="CA2" s="42"/>
      <c r="CB2" s="42"/>
      <c r="CC2" s="42"/>
      <c r="CD2" s="42"/>
      <c r="CE2" s="42"/>
      <c r="CF2" s="42"/>
      <c r="CG2" s="42"/>
      <c r="CH2" s="42"/>
      <c r="CI2" s="42"/>
      <c r="CJ2" s="42"/>
      <c r="CK2" s="42"/>
      <c r="CL2" s="42"/>
      <c r="CM2" s="42"/>
      <c r="CN2" s="42"/>
      <c r="CO2" s="42"/>
      <c r="CP2" s="42"/>
    </row>
    <row r="3" spans="2:99" x14ac:dyDescent="0.35">
      <c r="B3" s="18" t="s">
        <v>39</v>
      </c>
      <c r="C3" t="s" vm="1">
        <v>334</v>
      </c>
      <c r="G3" s="18" t="s">
        <v>39</v>
      </c>
      <c r="H3" t="s" vm="1">
        <v>334</v>
      </c>
      <c r="S3" t="s">
        <v>40</v>
      </c>
      <c r="T3" t="s">
        <v>1</v>
      </c>
      <c r="U3" t="s">
        <v>220</v>
      </c>
      <c r="V3" t="s">
        <v>249</v>
      </c>
      <c r="W3" t="s">
        <v>217</v>
      </c>
      <c r="X3" t="s">
        <v>218</v>
      </c>
      <c r="Y3" t="s">
        <v>252</v>
      </c>
      <c r="Z3" t="s">
        <v>251</v>
      </c>
      <c r="AC3" s="18" t="s">
        <v>39</v>
      </c>
      <c r="AD3" t="s" vm="1">
        <v>334</v>
      </c>
      <c r="AS3" s="18" t="s">
        <v>39</v>
      </c>
      <c r="AT3" t="s" vm="1">
        <v>334</v>
      </c>
      <c r="AY3" s="18" t="s">
        <v>39</v>
      </c>
      <c r="AZ3" t="s" vm="1">
        <v>334</v>
      </c>
      <c r="BD3" s="18" t="s">
        <v>39</v>
      </c>
      <c r="BE3" t="s" vm="1">
        <v>334</v>
      </c>
      <c r="CA3" s="18" t="s">
        <v>39</v>
      </c>
      <c r="CB3" t="s" vm="1">
        <v>334</v>
      </c>
      <c r="CR3" s="18" t="s">
        <v>39</v>
      </c>
      <c r="CS3" t="s" vm="1">
        <v>334</v>
      </c>
    </row>
    <row r="4" spans="2:99" x14ac:dyDescent="0.35">
      <c r="R4" s="21" t="s">
        <v>42</v>
      </c>
      <c r="S4" s="25">
        <f>VLOOKUP($R4,$G$7:$O$1048576,9,FALSE)/7</f>
        <v>216.85714285714286</v>
      </c>
      <c r="T4" s="25">
        <f>VLOOKUP($R4,$G$7:$O$1048576,3,FALSE)/7</f>
        <v>7</v>
      </c>
      <c r="U4" s="25">
        <f>VLOOKUP($R4,$G$7:$O$1048576,4,FALSE)/7</f>
        <v>10.714285714285714</v>
      </c>
      <c r="V4" s="25">
        <f>VLOOKUP($R4,$G$7:$O$1048576,5,FALSE)/7</f>
        <v>34.571428571428569</v>
      </c>
      <c r="W4" s="25">
        <f>VLOOKUP($R4,$G$7:$O$1048576,7,FALSE)/7</f>
        <v>44.142857142857146</v>
      </c>
      <c r="X4" s="25">
        <f>VLOOKUP($R4,$G$7:$O$1048576,8,FALSE)/7</f>
        <v>55.142857142857146</v>
      </c>
      <c r="Y4" s="25">
        <f>VLOOKUP($R4,$G$7:$O$1048576,2,FALSE)/7</f>
        <v>6.5714285714285712</v>
      </c>
      <c r="Z4" s="25">
        <f>VLOOKUP($R4,$G$7:$O$1048576,6,FALSE)/7</f>
        <v>58.714285714285715</v>
      </c>
    </row>
    <row r="5" spans="2:99" x14ac:dyDescent="0.35">
      <c r="B5" s="18" t="s">
        <v>37</v>
      </c>
      <c r="C5" t="s">
        <v>62</v>
      </c>
      <c r="G5" s="18" t="s">
        <v>62</v>
      </c>
      <c r="H5" s="18" t="s">
        <v>41</v>
      </c>
      <c r="R5" s="20" t="s">
        <v>43</v>
      </c>
      <c r="S5" s="25">
        <f t="shared" ref="S5:S16" si="0">VLOOKUP($R5,$G$7:$O$1048576,9,FALSE)/7</f>
        <v>271.28571428571428</v>
      </c>
      <c r="T5" s="25">
        <f t="shared" ref="T5:T16" si="1">VLOOKUP($R5,$G$7:$O$1048576,3,FALSE)/7</f>
        <v>12.285714285714286</v>
      </c>
      <c r="U5" s="25">
        <f t="shared" ref="U5:U16" si="2">VLOOKUP($R5,$G$7:$O$1048576,4,FALSE)/7</f>
        <v>25.571428571428573</v>
      </c>
      <c r="V5" s="25">
        <f t="shared" ref="V5:V16" si="3">VLOOKUP($R5,$G$7:$O$1048576,5,FALSE)/7</f>
        <v>85.285714285714292</v>
      </c>
      <c r="W5" s="25">
        <f t="shared" ref="W5:W16" si="4">VLOOKUP($R5,$G$7:$O$1048576,7,FALSE)/7</f>
        <v>56.428571428571431</v>
      </c>
      <c r="X5" s="25">
        <f t="shared" ref="X5:X16" si="5">VLOOKUP($R5,$G$7:$O$1048576,8,FALSE)/7</f>
        <v>35.857142857142854</v>
      </c>
      <c r="Y5" s="25">
        <f t="shared" ref="Y5:Y16" si="6">VLOOKUP($R5,$G$7:$O$1048576,2,FALSE)/7</f>
        <v>6</v>
      </c>
      <c r="Z5" s="25">
        <f t="shared" ref="Z5:Z16" si="7">VLOOKUP($R5,$G$7:$O$1048576,6,FALSE)/7</f>
        <v>49.857142857142854</v>
      </c>
      <c r="AC5" s="18" t="s">
        <v>62</v>
      </c>
      <c r="AD5" s="18" t="s">
        <v>41</v>
      </c>
      <c r="AS5" s="18" t="s">
        <v>37</v>
      </c>
      <c r="AT5" t="s">
        <v>62</v>
      </c>
      <c r="AY5" s="18" t="s">
        <v>37</v>
      </c>
      <c r="AZ5" t="s">
        <v>168</v>
      </c>
      <c r="BD5" s="18" t="s">
        <v>168</v>
      </c>
      <c r="BE5" s="18" t="s">
        <v>41</v>
      </c>
      <c r="BP5" t="s">
        <v>40</v>
      </c>
      <c r="BQ5" t="s">
        <v>1</v>
      </c>
      <c r="BR5" t="s">
        <v>220</v>
      </c>
      <c r="BS5" t="s">
        <v>249</v>
      </c>
      <c r="BT5" t="s">
        <v>217</v>
      </c>
      <c r="BU5" t="s">
        <v>218</v>
      </c>
      <c r="BV5" t="s">
        <v>252</v>
      </c>
      <c r="BW5" t="s">
        <v>251</v>
      </c>
      <c r="CA5" s="18" t="s">
        <v>168</v>
      </c>
      <c r="CB5" s="18" t="s">
        <v>41</v>
      </c>
      <c r="CR5" s="18" t="s">
        <v>37</v>
      </c>
      <c r="CS5" t="s">
        <v>168</v>
      </c>
    </row>
    <row r="6" spans="2:99" x14ac:dyDescent="0.35">
      <c r="B6" s="19">
        <v>1</v>
      </c>
      <c r="C6" s="2">
        <v>1518</v>
      </c>
      <c r="D6" s="20"/>
      <c r="E6" s="20">
        <f>C6/4</f>
        <v>379.5</v>
      </c>
      <c r="F6" s="20"/>
      <c r="G6" s="18" t="s">
        <v>37</v>
      </c>
      <c r="H6" t="s">
        <v>282</v>
      </c>
      <c r="I6" t="s">
        <v>1</v>
      </c>
      <c r="J6" t="s">
        <v>220</v>
      </c>
      <c r="K6" t="s">
        <v>253</v>
      </c>
      <c r="L6" t="s">
        <v>250</v>
      </c>
      <c r="M6" t="s">
        <v>217</v>
      </c>
      <c r="N6" t="s">
        <v>218</v>
      </c>
      <c r="O6" t="s">
        <v>38</v>
      </c>
      <c r="Q6" s="25"/>
      <c r="R6" s="20" t="s">
        <v>44</v>
      </c>
      <c r="S6" s="25">
        <f t="shared" si="0"/>
        <v>317.85714285714283</v>
      </c>
      <c r="T6" s="25">
        <f t="shared" si="1"/>
        <v>15.714285714285714</v>
      </c>
      <c r="U6" s="25">
        <f t="shared" si="2"/>
        <v>22.571428571428573</v>
      </c>
      <c r="V6" s="25">
        <f t="shared" si="3"/>
        <v>140.71428571428572</v>
      </c>
      <c r="W6" s="25">
        <f t="shared" si="4"/>
        <v>54.714285714285715</v>
      </c>
      <c r="X6" s="25">
        <f t="shared" si="5"/>
        <v>38.857142857142854</v>
      </c>
      <c r="Y6" s="25">
        <f t="shared" si="6"/>
        <v>17</v>
      </c>
      <c r="Z6" s="25">
        <f t="shared" si="7"/>
        <v>28.285714285714285</v>
      </c>
      <c r="AA6" s="25"/>
      <c r="AB6" s="25"/>
      <c r="AC6" s="18" t="s">
        <v>37</v>
      </c>
      <c r="AD6" t="s">
        <v>42</v>
      </c>
      <c r="AE6" t="s">
        <v>43</v>
      </c>
      <c r="AF6" t="s">
        <v>44</v>
      </c>
      <c r="AG6" t="s">
        <v>45</v>
      </c>
      <c r="AH6" t="s">
        <v>46</v>
      </c>
      <c r="AI6" t="s">
        <v>47</v>
      </c>
      <c r="AJ6" t="s">
        <v>48</v>
      </c>
      <c r="AK6" t="s">
        <v>49</v>
      </c>
      <c r="AL6" t="s">
        <v>50</v>
      </c>
      <c r="AM6" t="s">
        <v>51</v>
      </c>
      <c r="AN6" t="s">
        <v>52</v>
      </c>
      <c r="AO6" t="s">
        <v>53</v>
      </c>
      <c r="AP6" t="s">
        <v>54</v>
      </c>
      <c r="AS6" s="124">
        <v>44529</v>
      </c>
      <c r="AT6" s="2">
        <v>171</v>
      </c>
      <c r="AV6">
        <f>MAX(AT6:AT1048576)</f>
        <v>508</v>
      </c>
      <c r="AX6" s="26"/>
      <c r="AY6" s="19">
        <v>1</v>
      </c>
      <c r="AZ6" s="2">
        <v>332</v>
      </c>
      <c r="BA6" s="26">
        <f>AZ6/4</f>
        <v>83</v>
      </c>
      <c r="BB6" s="26"/>
      <c r="BC6" s="25"/>
      <c r="BD6" s="18" t="s">
        <v>37</v>
      </c>
      <c r="BE6" t="s">
        <v>282</v>
      </c>
      <c r="BF6" t="s">
        <v>1</v>
      </c>
      <c r="BG6" t="s">
        <v>220</v>
      </c>
      <c r="BH6" t="s">
        <v>253</v>
      </c>
      <c r="BI6" t="s">
        <v>250</v>
      </c>
      <c r="BJ6" t="s">
        <v>217</v>
      </c>
      <c r="BK6" t="s">
        <v>218</v>
      </c>
      <c r="BL6" t="s">
        <v>38</v>
      </c>
      <c r="BO6" s="21" t="s">
        <v>42</v>
      </c>
      <c r="BP6" s="25">
        <f>VLOOKUP($BO6, $BD$7:$BL$875, 9,FALSE)/7</f>
        <v>47.428571428571431</v>
      </c>
      <c r="BQ6" s="25">
        <f>VLOOKUP($BO6, $BD$7:$BL$875, 3,FALSE)/7</f>
        <v>2.7142857142857144</v>
      </c>
      <c r="BR6" s="25">
        <f>VLOOKUP($BO6, $BD$7:$BL$875, 4,FALSE)/7</f>
        <v>2.4285714285714284</v>
      </c>
      <c r="BS6" s="25">
        <f>VLOOKUP($BO6, $BD$7:$BL$875, 5,FALSE)/7</f>
        <v>9</v>
      </c>
      <c r="BT6" s="25">
        <f>VLOOKUP($BO6, $BD$7:$BL$875, 7,FALSE)/7</f>
        <v>11.571428571428571</v>
      </c>
      <c r="BU6" s="25">
        <f>VLOOKUP($BO6, $BD$7:$BL$875, 8,FALSE)/7</f>
        <v>4.5714285714285712</v>
      </c>
      <c r="BV6" s="25">
        <f>VLOOKUP($BO6, $BD$7:$BL$875, 2,FALSE)/7</f>
        <v>6.5714285714285712</v>
      </c>
      <c r="BW6" s="25">
        <f>VLOOKUP($BO6, $BD$7:$BL$875, 6,FALSE)/7</f>
        <v>10.571428571428571</v>
      </c>
      <c r="BX6" s="25"/>
      <c r="BY6" s="25"/>
      <c r="CA6" s="18" t="s">
        <v>37</v>
      </c>
      <c r="CB6" t="s">
        <v>42</v>
      </c>
      <c r="CC6" t="s">
        <v>43</v>
      </c>
      <c r="CD6" t="s">
        <v>44</v>
      </c>
      <c r="CE6" t="s">
        <v>45</v>
      </c>
      <c r="CF6" t="s">
        <v>46</v>
      </c>
      <c r="CG6" t="s">
        <v>47</v>
      </c>
      <c r="CH6" t="s">
        <v>48</v>
      </c>
      <c r="CI6" t="s">
        <v>49</v>
      </c>
      <c r="CJ6" t="s">
        <v>50</v>
      </c>
      <c r="CK6" t="s">
        <v>51</v>
      </c>
      <c r="CL6" t="s">
        <v>52</v>
      </c>
      <c r="CM6" t="s">
        <v>53</v>
      </c>
      <c r="CN6" t="s">
        <v>54</v>
      </c>
      <c r="CR6" s="124">
        <v>44529</v>
      </c>
      <c r="CS6" s="2">
        <v>35</v>
      </c>
      <c r="CU6">
        <f>MAX(CS6:CS1048576)</f>
        <v>139</v>
      </c>
    </row>
    <row r="7" spans="2:99" x14ac:dyDescent="0.35">
      <c r="B7" s="19">
        <v>2</v>
      </c>
      <c r="C7" s="2">
        <v>1899</v>
      </c>
      <c r="D7" s="20"/>
      <c r="E7" s="20">
        <f>C7/7</f>
        <v>271.28571428571428</v>
      </c>
      <c r="F7" s="20"/>
      <c r="G7" s="19" t="s">
        <v>42</v>
      </c>
      <c r="H7" s="2">
        <v>46</v>
      </c>
      <c r="I7" s="2">
        <v>49</v>
      </c>
      <c r="J7" s="2">
        <v>75</v>
      </c>
      <c r="K7" s="2">
        <v>242</v>
      </c>
      <c r="L7" s="2">
        <v>411</v>
      </c>
      <c r="M7" s="2">
        <v>309</v>
      </c>
      <c r="N7" s="2">
        <v>386</v>
      </c>
      <c r="O7" s="2">
        <v>1518</v>
      </c>
      <c r="P7" s="2"/>
      <c r="Q7" s="25"/>
      <c r="R7" s="20" t="s">
        <v>45</v>
      </c>
      <c r="S7" s="25">
        <f t="shared" si="0"/>
        <v>273</v>
      </c>
      <c r="T7" s="25">
        <f t="shared" si="1"/>
        <v>4.7142857142857144</v>
      </c>
      <c r="U7" s="25">
        <f t="shared" si="2"/>
        <v>8.7142857142857135</v>
      </c>
      <c r="V7" s="25">
        <f t="shared" si="3"/>
        <v>134.28571428571428</v>
      </c>
      <c r="W7" s="25">
        <f t="shared" si="4"/>
        <v>37.571428571428569</v>
      </c>
      <c r="X7" s="25">
        <f t="shared" si="5"/>
        <v>20.142857142857142</v>
      </c>
      <c r="Y7" s="25">
        <f t="shared" si="6"/>
        <v>36</v>
      </c>
      <c r="Z7" s="25">
        <f t="shared" si="7"/>
        <v>31.571428571428573</v>
      </c>
      <c r="AA7" s="25"/>
      <c r="AB7" s="25"/>
      <c r="AC7" s="19" t="s">
        <v>63</v>
      </c>
      <c r="AD7" s="2">
        <v>0</v>
      </c>
      <c r="AE7" s="2">
        <v>0</v>
      </c>
      <c r="AF7" s="2">
        <v>0</v>
      </c>
      <c r="AG7" s="2">
        <v>0</v>
      </c>
      <c r="AH7" s="2">
        <v>0</v>
      </c>
      <c r="AI7" s="2">
        <v>0</v>
      </c>
      <c r="AJ7" s="2">
        <v>0</v>
      </c>
      <c r="AK7" s="2">
        <v>0</v>
      </c>
      <c r="AL7" s="2">
        <v>0</v>
      </c>
      <c r="AM7" s="2">
        <v>0</v>
      </c>
      <c r="AN7" s="2">
        <v>0</v>
      </c>
      <c r="AO7" s="2">
        <v>0</v>
      </c>
      <c r="AP7" s="2">
        <v>0</v>
      </c>
      <c r="AS7" s="124">
        <v>44530</v>
      </c>
      <c r="AT7" s="2">
        <v>176</v>
      </c>
      <c r="AV7">
        <f>MATCH(AV6,AT6:AT1048576,0)</f>
        <v>60</v>
      </c>
      <c r="AX7" s="26"/>
      <c r="AY7" s="19">
        <v>2</v>
      </c>
      <c r="AZ7" s="2">
        <v>339</v>
      </c>
      <c r="BA7" s="26">
        <f>AZ7/7</f>
        <v>48.428571428571431</v>
      </c>
      <c r="BB7" s="26"/>
      <c r="BC7" s="25"/>
      <c r="BD7" s="19" t="s">
        <v>42</v>
      </c>
      <c r="BE7" s="2">
        <v>46</v>
      </c>
      <c r="BF7" s="2">
        <v>19</v>
      </c>
      <c r="BG7" s="2">
        <v>17</v>
      </c>
      <c r="BH7" s="2">
        <v>63</v>
      </c>
      <c r="BI7" s="2">
        <v>74</v>
      </c>
      <c r="BJ7" s="2">
        <v>81</v>
      </c>
      <c r="BK7" s="2">
        <v>32</v>
      </c>
      <c r="BL7" s="2">
        <v>332</v>
      </c>
      <c r="BM7" s="2"/>
      <c r="BN7" s="2"/>
      <c r="BO7" s="20" t="s">
        <v>43</v>
      </c>
      <c r="BP7" s="25">
        <f t="shared" ref="BP7:BP18" si="8">VLOOKUP($BO7, $BD$7:$BL$875, 9,FALSE)/7</f>
        <v>48.428571428571431</v>
      </c>
      <c r="BQ7" s="25">
        <f t="shared" ref="BQ7:BQ18" si="9">VLOOKUP($BO7, $BD$7:$BL$875, 3,FALSE)/7</f>
        <v>2.2857142857142856</v>
      </c>
      <c r="BR7" s="25">
        <f t="shared" ref="BR7:BR18" si="10">VLOOKUP($BO7, $BD$7:$BL$875, 4,FALSE)/7</f>
        <v>3.1428571428571428</v>
      </c>
      <c r="BS7" s="25">
        <f t="shared" ref="BS7:BS18" si="11">VLOOKUP($BO7, $BD$7:$BL$875, 5,FALSE)/7</f>
        <v>13.714285714285714</v>
      </c>
      <c r="BT7" s="25">
        <f t="shared" ref="BT7:BT18" si="12">VLOOKUP($BO7, $BD$7:$BL$875, 7,FALSE)/7</f>
        <v>14.857142857142858</v>
      </c>
      <c r="BU7" s="25">
        <f t="shared" ref="BU7:BU18" si="13">VLOOKUP($BO7, $BD$7:$BL$875, 8,FALSE)/7</f>
        <v>5.4285714285714288</v>
      </c>
      <c r="BV7" s="25">
        <f t="shared" ref="BV7:BV18" si="14">VLOOKUP($BO7, $BD$7:$BL$875, 2,FALSE)/7</f>
        <v>0.5714285714285714</v>
      </c>
      <c r="BW7" s="25">
        <f>VLOOKUP($BO7, $BD$7:$BL$875, 6,FALSE)/7</f>
        <v>8.4285714285714288</v>
      </c>
      <c r="BX7" s="25"/>
      <c r="BY7" s="25"/>
      <c r="BZ7" s="2"/>
      <c r="CA7" s="19" t="s">
        <v>63</v>
      </c>
      <c r="CB7" s="2">
        <v>0</v>
      </c>
      <c r="CC7" s="2">
        <v>0</v>
      </c>
      <c r="CD7" s="2">
        <v>0</v>
      </c>
      <c r="CE7" s="2">
        <v>0</v>
      </c>
      <c r="CF7" s="2">
        <v>0</v>
      </c>
      <c r="CG7" s="2">
        <v>0</v>
      </c>
      <c r="CH7" s="2">
        <v>0</v>
      </c>
      <c r="CI7" s="2">
        <v>0</v>
      </c>
      <c r="CJ7" s="2">
        <v>0</v>
      </c>
      <c r="CK7" s="2">
        <v>0</v>
      </c>
      <c r="CL7" s="2">
        <v>0</v>
      </c>
      <c r="CM7" s="2">
        <v>0</v>
      </c>
      <c r="CN7" s="2">
        <v>0</v>
      </c>
      <c r="CP7" s="2"/>
      <c r="CR7" s="124">
        <v>44530</v>
      </c>
      <c r="CS7" s="2">
        <v>61</v>
      </c>
      <c r="CU7">
        <f>MATCH(CU6,CS6:CS1048576,0)</f>
        <v>63</v>
      </c>
    </row>
    <row r="8" spans="2:99" x14ac:dyDescent="0.35">
      <c r="B8" s="19">
        <v>3</v>
      </c>
      <c r="C8" s="2">
        <v>2225</v>
      </c>
      <c r="D8" s="20"/>
      <c r="E8" s="20">
        <f>C8/7</f>
        <v>317.85714285714283</v>
      </c>
      <c r="F8" s="20"/>
      <c r="G8" s="19" t="s">
        <v>51</v>
      </c>
      <c r="H8" s="2">
        <v>37</v>
      </c>
      <c r="I8" s="2">
        <v>144</v>
      </c>
      <c r="J8" s="2">
        <v>915</v>
      </c>
      <c r="K8" s="2">
        <v>437</v>
      </c>
      <c r="L8" s="2">
        <v>448</v>
      </c>
      <c r="M8" s="2">
        <v>351</v>
      </c>
      <c r="N8" s="2">
        <v>343</v>
      </c>
      <c r="O8" s="2">
        <v>2675</v>
      </c>
      <c r="P8" s="2"/>
      <c r="Q8" s="25"/>
      <c r="R8" s="20" t="s">
        <v>46</v>
      </c>
      <c r="S8" s="25">
        <f t="shared" si="0"/>
        <v>282.85714285714283</v>
      </c>
      <c r="T8" s="25">
        <f t="shared" si="1"/>
        <v>0.2857142857142857</v>
      </c>
      <c r="U8" s="25">
        <f t="shared" si="2"/>
        <v>13.857142857142858</v>
      </c>
      <c r="V8" s="25">
        <f t="shared" si="3"/>
        <v>118.57142857142857</v>
      </c>
      <c r="W8" s="25">
        <f t="shared" si="4"/>
        <v>25.857142857142858</v>
      </c>
      <c r="X8" s="25">
        <f t="shared" si="5"/>
        <v>10.428571428571429</v>
      </c>
      <c r="Y8" s="25">
        <f t="shared" si="6"/>
        <v>94.714285714285708</v>
      </c>
      <c r="Z8" s="25">
        <f t="shared" si="7"/>
        <v>19.142857142857142</v>
      </c>
      <c r="AA8" s="25"/>
      <c r="AB8" s="25"/>
      <c r="AC8" s="19" t="s">
        <v>64</v>
      </c>
      <c r="AD8" s="2">
        <v>0</v>
      </c>
      <c r="AE8" s="2">
        <v>0</v>
      </c>
      <c r="AF8" s="2">
        <v>0</v>
      </c>
      <c r="AG8" s="2">
        <v>0</v>
      </c>
      <c r="AH8" s="2">
        <v>0</v>
      </c>
      <c r="AI8" s="2">
        <v>0</v>
      </c>
      <c r="AJ8" s="2">
        <v>0</v>
      </c>
      <c r="AK8" s="2">
        <v>0</v>
      </c>
      <c r="AL8" s="2">
        <v>0</v>
      </c>
      <c r="AM8" s="2">
        <v>0</v>
      </c>
      <c r="AN8" s="2">
        <v>0</v>
      </c>
      <c r="AO8" s="2">
        <v>0</v>
      </c>
      <c r="AP8" s="2">
        <v>0</v>
      </c>
      <c r="AS8" s="124">
        <v>44531</v>
      </c>
      <c r="AT8" s="2">
        <v>219</v>
      </c>
      <c r="AV8">
        <f>INDEX(AS6:AS1048576,AV7,0)</f>
        <v>44588</v>
      </c>
      <c r="AX8" s="26"/>
      <c r="AY8" s="19">
        <v>3</v>
      </c>
      <c r="AZ8" s="2">
        <v>652</v>
      </c>
      <c r="BA8" s="26">
        <f>AZ8/7</f>
        <v>93.142857142857139</v>
      </c>
      <c r="BB8" s="26"/>
      <c r="BC8" s="25"/>
      <c r="BD8" s="19" t="s">
        <v>51</v>
      </c>
      <c r="BE8" s="2">
        <v>32</v>
      </c>
      <c r="BF8" s="2">
        <v>32</v>
      </c>
      <c r="BG8" s="2">
        <v>132</v>
      </c>
      <c r="BH8" s="2">
        <v>101</v>
      </c>
      <c r="BI8" s="2">
        <v>96</v>
      </c>
      <c r="BJ8" s="2">
        <v>103</v>
      </c>
      <c r="BK8" s="2">
        <v>61</v>
      </c>
      <c r="BL8" s="2">
        <v>557</v>
      </c>
      <c r="BM8" s="2"/>
      <c r="BN8" s="2"/>
      <c r="BO8" s="20" t="s">
        <v>44</v>
      </c>
      <c r="BP8" s="25">
        <f t="shared" si="8"/>
        <v>93.142857142857139</v>
      </c>
      <c r="BQ8" s="25">
        <f>VLOOKUP($BO8, $BD$7:$BL$875, 3,FALSE)/7</f>
        <v>2.7142857142857144</v>
      </c>
      <c r="BR8" s="25">
        <f t="shared" si="10"/>
        <v>8.5714285714285712</v>
      </c>
      <c r="BS8" s="25">
        <f t="shared" si="11"/>
        <v>40.714285714285715</v>
      </c>
      <c r="BT8" s="25">
        <f t="shared" si="12"/>
        <v>20.142857142857142</v>
      </c>
      <c r="BU8" s="25">
        <f t="shared" si="13"/>
        <v>9.7142857142857135</v>
      </c>
      <c r="BV8" s="25">
        <f t="shared" si="14"/>
        <v>6.1428571428571432</v>
      </c>
      <c r="BW8" s="25">
        <f t="shared" ref="BW8:BW18" si="15">VLOOKUP($BO8, $BD$7:$BL$875, 6,FALSE)/7</f>
        <v>5.1428571428571432</v>
      </c>
      <c r="BX8" s="25"/>
      <c r="BY8" s="25"/>
      <c r="BZ8" s="2"/>
      <c r="CA8" s="19" t="s">
        <v>64</v>
      </c>
      <c r="CB8" s="2">
        <v>0</v>
      </c>
      <c r="CC8" s="2">
        <v>0</v>
      </c>
      <c r="CD8" s="2">
        <v>0</v>
      </c>
      <c r="CE8" s="2">
        <v>0</v>
      </c>
      <c r="CF8" s="2">
        <v>0</v>
      </c>
      <c r="CG8" s="2">
        <v>0</v>
      </c>
      <c r="CH8" s="2">
        <v>0</v>
      </c>
      <c r="CI8" s="2">
        <v>0</v>
      </c>
      <c r="CJ8" s="2">
        <v>0</v>
      </c>
      <c r="CK8" s="2">
        <v>0</v>
      </c>
      <c r="CL8" s="2">
        <v>0</v>
      </c>
      <c r="CM8" s="2">
        <v>0</v>
      </c>
      <c r="CN8" s="2">
        <v>0</v>
      </c>
      <c r="CP8" s="2"/>
      <c r="CR8" s="124">
        <v>44531</v>
      </c>
      <c r="CS8" s="2">
        <v>52</v>
      </c>
      <c r="CU8">
        <f>INDEX(CR6:CR1048576,CU7,0)</f>
        <v>44591</v>
      </c>
    </row>
    <row r="9" spans="2:99" x14ac:dyDescent="0.35">
      <c r="B9" s="19">
        <v>4</v>
      </c>
      <c r="C9" s="2">
        <v>1911</v>
      </c>
      <c r="D9" s="20"/>
      <c r="E9" s="20">
        <f t="shared" ref="E9:E20" si="16">C9/7</f>
        <v>273</v>
      </c>
      <c r="F9" s="20"/>
      <c r="G9" s="19" t="s">
        <v>52</v>
      </c>
      <c r="H9" s="2">
        <v>20</v>
      </c>
      <c r="I9" s="2">
        <v>157</v>
      </c>
      <c r="J9" s="2">
        <v>835</v>
      </c>
      <c r="K9" s="2">
        <v>209</v>
      </c>
      <c r="L9" s="2">
        <v>131</v>
      </c>
      <c r="M9" s="2">
        <v>125</v>
      </c>
      <c r="N9" s="2">
        <v>108</v>
      </c>
      <c r="O9" s="2">
        <v>1585</v>
      </c>
      <c r="P9" s="2"/>
      <c r="Q9" s="25"/>
      <c r="R9" s="20" t="s">
        <v>47</v>
      </c>
      <c r="S9" s="25">
        <f t="shared" si="0"/>
        <v>159.57142857142858</v>
      </c>
      <c r="T9" s="25">
        <f t="shared" si="1"/>
        <v>1.7142857142857142</v>
      </c>
      <c r="U9" s="25">
        <f t="shared" si="2"/>
        <v>14.428571428571429</v>
      </c>
      <c r="V9" s="25">
        <f t="shared" si="3"/>
        <v>98.142857142857139</v>
      </c>
      <c r="W9" s="25">
        <f t="shared" si="4"/>
        <v>5</v>
      </c>
      <c r="X9" s="25">
        <f t="shared" si="5"/>
        <v>2.2857142857142856</v>
      </c>
      <c r="Y9" s="25">
        <f t="shared" si="6"/>
        <v>22.428571428571427</v>
      </c>
      <c r="Z9" s="25">
        <f t="shared" si="7"/>
        <v>15.571428571428571</v>
      </c>
      <c r="AA9" s="25"/>
      <c r="AB9" s="25"/>
      <c r="AC9" s="19" t="s">
        <v>65</v>
      </c>
      <c r="AD9" s="2">
        <v>0</v>
      </c>
      <c r="AE9" s="2">
        <v>0</v>
      </c>
      <c r="AF9" s="2">
        <v>0</v>
      </c>
      <c r="AG9" s="2">
        <v>0</v>
      </c>
      <c r="AH9" s="2">
        <v>0</v>
      </c>
      <c r="AI9" s="2">
        <v>0</v>
      </c>
      <c r="AJ9" s="2">
        <v>0</v>
      </c>
      <c r="AK9" s="2">
        <v>0</v>
      </c>
      <c r="AL9" s="2">
        <v>28</v>
      </c>
      <c r="AM9" s="2">
        <v>45</v>
      </c>
      <c r="AN9" s="2">
        <v>0</v>
      </c>
      <c r="AO9" s="2">
        <v>0</v>
      </c>
      <c r="AP9" s="2">
        <v>0</v>
      </c>
      <c r="AS9" s="124">
        <v>44532</v>
      </c>
      <c r="AT9" s="2">
        <v>260</v>
      </c>
      <c r="AX9" s="26"/>
      <c r="AY9" s="19">
        <v>4</v>
      </c>
      <c r="AZ9" s="2">
        <v>520</v>
      </c>
      <c r="BA9" s="26">
        <f t="shared" ref="BA9:BA19" si="17">AZ9/7</f>
        <v>74.285714285714292</v>
      </c>
      <c r="BB9" s="26"/>
      <c r="BC9" s="25"/>
      <c r="BD9" s="19" t="s">
        <v>52</v>
      </c>
      <c r="BE9" s="2">
        <v>17</v>
      </c>
      <c r="BF9" s="2">
        <v>33</v>
      </c>
      <c r="BG9" s="2">
        <v>168</v>
      </c>
      <c r="BH9" s="2">
        <v>50</v>
      </c>
      <c r="BI9" s="2">
        <v>5</v>
      </c>
      <c r="BJ9" s="2">
        <v>22</v>
      </c>
      <c r="BK9" s="2">
        <v>18</v>
      </c>
      <c r="BL9" s="2">
        <v>313</v>
      </c>
      <c r="BM9" s="2"/>
      <c r="BN9" s="2"/>
      <c r="BO9" s="20" t="s">
        <v>45</v>
      </c>
      <c r="BP9" s="25">
        <f t="shared" si="8"/>
        <v>74.285714285714292</v>
      </c>
      <c r="BQ9" s="25">
        <f t="shared" si="9"/>
        <v>1.1428571428571428</v>
      </c>
      <c r="BR9" s="25">
        <f t="shared" si="10"/>
        <v>4.5714285714285712</v>
      </c>
      <c r="BS9" s="25">
        <f t="shared" si="11"/>
        <v>30.714285714285715</v>
      </c>
      <c r="BT9" s="25">
        <f t="shared" si="12"/>
        <v>10.857142857142858</v>
      </c>
      <c r="BU9" s="25">
        <f t="shared" si="13"/>
        <v>11</v>
      </c>
      <c r="BV9" s="25">
        <f t="shared" si="14"/>
        <v>6.1428571428571432</v>
      </c>
      <c r="BW9" s="25">
        <f t="shared" si="15"/>
        <v>9.8571428571428577</v>
      </c>
      <c r="BX9" s="25"/>
      <c r="BY9" s="25"/>
      <c r="BZ9" s="2"/>
      <c r="CA9" s="19" t="s">
        <v>65</v>
      </c>
      <c r="CB9" s="2">
        <v>0</v>
      </c>
      <c r="CC9" s="2">
        <v>0</v>
      </c>
      <c r="CD9" s="2">
        <v>0</v>
      </c>
      <c r="CE9" s="2">
        <v>0</v>
      </c>
      <c r="CF9" s="2">
        <v>0</v>
      </c>
      <c r="CG9" s="2">
        <v>0</v>
      </c>
      <c r="CH9" s="2">
        <v>0</v>
      </c>
      <c r="CI9" s="2">
        <v>0</v>
      </c>
      <c r="CJ9" s="2">
        <v>18</v>
      </c>
      <c r="CK9" s="2">
        <v>7</v>
      </c>
      <c r="CL9" s="2">
        <v>0</v>
      </c>
      <c r="CM9" s="2">
        <v>0</v>
      </c>
      <c r="CN9" s="2">
        <v>0</v>
      </c>
      <c r="CP9" s="2"/>
      <c r="CR9" s="124">
        <v>44532</v>
      </c>
      <c r="CS9" s="2">
        <v>60</v>
      </c>
    </row>
    <row r="10" spans="2:99" x14ac:dyDescent="0.35">
      <c r="B10" s="19">
        <v>5</v>
      </c>
      <c r="C10" s="2">
        <v>1980</v>
      </c>
      <c r="D10" s="20"/>
      <c r="E10" s="20">
        <f t="shared" si="16"/>
        <v>282.85714285714283</v>
      </c>
      <c r="F10" s="20"/>
      <c r="G10" s="19" t="s">
        <v>53</v>
      </c>
      <c r="H10" s="2">
        <v>23</v>
      </c>
      <c r="I10" s="2">
        <v>44</v>
      </c>
      <c r="J10" s="2">
        <v>683</v>
      </c>
      <c r="K10" s="2">
        <v>203</v>
      </c>
      <c r="L10" s="2">
        <v>174</v>
      </c>
      <c r="M10" s="2">
        <v>183</v>
      </c>
      <c r="N10" s="2">
        <v>112</v>
      </c>
      <c r="O10" s="2">
        <v>1422</v>
      </c>
      <c r="P10" s="2"/>
      <c r="Q10" s="25"/>
      <c r="R10" s="20" t="s">
        <v>48</v>
      </c>
      <c r="S10" s="25">
        <f t="shared" si="0"/>
        <v>107</v>
      </c>
      <c r="T10" s="25">
        <f t="shared" si="1"/>
        <v>0</v>
      </c>
      <c r="U10" s="25">
        <f t="shared" si="2"/>
        <v>7.1428571428571432</v>
      </c>
      <c r="V10" s="25">
        <f t="shared" si="3"/>
        <v>27.142857142857142</v>
      </c>
      <c r="W10" s="25">
        <f t="shared" si="4"/>
        <v>18.714285714285715</v>
      </c>
      <c r="X10" s="25">
        <f t="shared" si="5"/>
        <v>15.428571428571429</v>
      </c>
      <c r="Y10" s="25">
        <f t="shared" si="6"/>
        <v>12.285714285714286</v>
      </c>
      <c r="Z10" s="25">
        <f t="shared" si="7"/>
        <v>26.285714285714285</v>
      </c>
      <c r="AA10" s="25"/>
      <c r="AB10" s="25"/>
      <c r="AC10" s="19" t="s">
        <v>66</v>
      </c>
      <c r="AD10" s="2">
        <v>0</v>
      </c>
      <c r="AE10" s="2">
        <v>0</v>
      </c>
      <c r="AF10" s="2">
        <v>0</v>
      </c>
      <c r="AG10" s="2">
        <v>0</v>
      </c>
      <c r="AH10" s="2">
        <v>2</v>
      </c>
      <c r="AI10" s="2">
        <v>0</v>
      </c>
      <c r="AJ10" s="2">
        <v>0</v>
      </c>
      <c r="AK10" s="2">
        <v>0</v>
      </c>
      <c r="AL10" s="2">
        <v>0</v>
      </c>
      <c r="AM10" s="2">
        <v>0</v>
      </c>
      <c r="AN10" s="2">
        <v>0</v>
      </c>
      <c r="AO10" s="2">
        <v>1</v>
      </c>
      <c r="AP10" s="2">
        <v>0</v>
      </c>
      <c r="AS10" s="124">
        <v>44533</v>
      </c>
      <c r="AT10" s="2">
        <v>263</v>
      </c>
      <c r="AX10" s="26"/>
      <c r="AY10" s="19">
        <v>5</v>
      </c>
      <c r="AZ10" s="2">
        <v>387</v>
      </c>
      <c r="BA10" s="26">
        <f t="shared" si="17"/>
        <v>55.285714285714285</v>
      </c>
      <c r="BB10" s="26"/>
      <c r="BC10" s="25"/>
      <c r="BD10" s="19" t="s">
        <v>53</v>
      </c>
      <c r="BE10" s="2">
        <v>22</v>
      </c>
      <c r="BF10" s="2">
        <v>7</v>
      </c>
      <c r="BG10" s="2">
        <v>140</v>
      </c>
      <c r="BH10" s="2">
        <v>39</v>
      </c>
      <c r="BI10" s="2">
        <v>1</v>
      </c>
      <c r="BJ10" s="2">
        <v>30</v>
      </c>
      <c r="BK10" s="2">
        <v>27</v>
      </c>
      <c r="BL10" s="2">
        <v>266</v>
      </c>
      <c r="BM10" s="2"/>
      <c r="BN10" s="2"/>
      <c r="BO10" s="20" t="s">
        <v>46</v>
      </c>
      <c r="BP10" s="25">
        <f t="shared" si="8"/>
        <v>55.285714285714285</v>
      </c>
      <c r="BQ10" s="25">
        <f t="shared" si="9"/>
        <v>0</v>
      </c>
      <c r="BR10" s="25">
        <f t="shared" si="10"/>
        <v>5.8571428571428568</v>
      </c>
      <c r="BS10" s="25">
        <f>VLOOKUP($BO10, $BD$7:$BL$875, 5,FALSE)/7</f>
        <v>21</v>
      </c>
      <c r="BT10" s="25">
        <f t="shared" si="12"/>
        <v>7.4285714285714288</v>
      </c>
      <c r="BU10" s="25">
        <f t="shared" si="13"/>
        <v>4.1428571428571432</v>
      </c>
      <c r="BV10" s="25">
        <f t="shared" si="14"/>
        <v>14.428571428571429</v>
      </c>
      <c r="BW10" s="25">
        <f t="shared" si="15"/>
        <v>2.4285714285714284</v>
      </c>
      <c r="BX10" s="25"/>
      <c r="BY10" s="25"/>
      <c r="BZ10" s="2"/>
      <c r="CA10" s="19" t="s">
        <v>66</v>
      </c>
      <c r="CB10" s="2">
        <v>0</v>
      </c>
      <c r="CC10" s="2">
        <v>0</v>
      </c>
      <c r="CD10" s="2">
        <v>0</v>
      </c>
      <c r="CE10" s="2">
        <v>0</v>
      </c>
      <c r="CF10" s="2">
        <v>0</v>
      </c>
      <c r="CG10" s="2">
        <v>0</v>
      </c>
      <c r="CH10" s="2">
        <v>0</v>
      </c>
      <c r="CI10" s="2">
        <v>0</v>
      </c>
      <c r="CJ10" s="2">
        <v>0</v>
      </c>
      <c r="CK10" s="2">
        <v>0</v>
      </c>
      <c r="CL10" s="2">
        <v>0</v>
      </c>
      <c r="CM10" s="2">
        <v>0</v>
      </c>
      <c r="CN10" s="2">
        <v>0</v>
      </c>
      <c r="CP10" s="2"/>
      <c r="CR10" s="124">
        <v>44533</v>
      </c>
      <c r="CS10" s="2">
        <v>50</v>
      </c>
    </row>
    <row r="11" spans="2:99" x14ac:dyDescent="0.35">
      <c r="B11" s="19">
        <v>6</v>
      </c>
      <c r="C11" s="2">
        <v>1117</v>
      </c>
      <c r="D11" s="20"/>
      <c r="E11" s="20">
        <f t="shared" si="16"/>
        <v>159.57142857142858</v>
      </c>
      <c r="F11" s="20"/>
      <c r="G11" s="19" t="s">
        <v>54</v>
      </c>
      <c r="H11" s="2">
        <v>20</v>
      </c>
      <c r="I11" s="2">
        <v>8</v>
      </c>
      <c r="J11" s="2">
        <v>455</v>
      </c>
      <c r="K11" s="2">
        <v>395</v>
      </c>
      <c r="L11" s="2">
        <v>154</v>
      </c>
      <c r="M11" s="2">
        <v>64</v>
      </c>
      <c r="N11" s="2">
        <v>443</v>
      </c>
      <c r="O11" s="2">
        <v>1539</v>
      </c>
      <c r="P11" s="2"/>
      <c r="Q11" s="25"/>
      <c r="R11" s="20" t="s">
        <v>49</v>
      </c>
      <c r="S11" s="25">
        <f t="shared" si="0"/>
        <v>241.28571428571428</v>
      </c>
      <c r="T11" s="25">
        <f t="shared" si="1"/>
        <v>0.7142857142857143</v>
      </c>
      <c r="U11" s="25">
        <f t="shared" si="2"/>
        <v>12.285714285714286</v>
      </c>
      <c r="V11" s="25">
        <f t="shared" si="3"/>
        <v>58.142857142857146</v>
      </c>
      <c r="W11" s="25">
        <f t="shared" si="4"/>
        <v>39.714285714285715</v>
      </c>
      <c r="X11" s="25">
        <f t="shared" si="5"/>
        <v>76.285714285714292</v>
      </c>
      <c r="Y11" s="25">
        <f t="shared" si="6"/>
        <v>8</v>
      </c>
      <c r="Z11" s="25">
        <f t="shared" si="7"/>
        <v>46.142857142857146</v>
      </c>
      <c r="AA11" s="25"/>
      <c r="AB11" s="25"/>
      <c r="AC11" s="19" t="s">
        <v>67</v>
      </c>
      <c r="AD11" s="2">
        <v>0</v>
      </c>
      <c r="AE11" s="2">
        <v>0</v>
      </c>
      <c r="AF11" s="2">
        <v>0</v>
      </c>
      <c r="AG11" s="2">
        <v>0</v>
      </c>
      <c r="AH11" s="2">
        <v>0</v>
      </c>
      <c r="AI11" s="2">
        <v>0</v>
      </c>
      <c r="AJ11" s="2">
        <v>0</v>
      </c>
      <c r="AK11" s="2">
        <v>0</v>
      </c>
      <c r="AL11" s="2">
        <v>0</v>
      </c>
      <c r="AM11" s="2">
        <v>0</v>
      </c>
      <c r="AN11" s="2">
        <v>0</v>
      </c>
      <c r="AO11" s="2">
        <v>0</v>
      </c>
      <c r="AP11" s="2">
        <v>0</v>
      </c>
      <c r="AS11" s="124">
        <v>44534</v>
      </c>
      <c r="AT11" s="2">
        <v>236</v>
      </c>
      <c r="AX11" s="26"/>
      <c r="AY11" s="19">
        <v>6</v>
      </c>
      <c r="AZ11" s="2">
        <v>181</v>
      </c>
      <c r="BA11" s="26">
        <f t="shared" si="17"/>
        <v>25.857142857142858</v>
      </c>
      <c r="BB11" s="26"/>
      <c r="BC11" s="25"/>
      <c r="BD11" s="19" t="s">
        <v>54</v>
      </c>
      <c r="BE11" s="2">
        <v>20</v>
      </c>
      <c r="BF11" s="2">
        <v>2</v>
      </c>
      <c r="BG11" s="2">
        <v>64</v>
      </c>
      <c r="BH11" s="2">
        <v>62</v>
      </c>
      <c r="BI11" s="2">
        <v>16</v>
      </c>
      <c r="BJ11" s="2">
        <v>12</v>
      </c>
      <c r="BK11" s="2">
        <v>86</v>
      </c>
      <c r="BL11" s="2">
        <v>262</v>
      </c>
      <c r="BM11" s="2"/>
      <c r="BN11" s="2"/>
      <c r="BO11" s="20" t="s">
        <v>47</v>
      </c>
      <c r="BP11" s="25">
        <f t="shared" si="8"/>
        <v>25.857142857142858</v>
      </c>
      <c r="BQ11" s="25">
        <f t="shared" si="9"/>
        <v>0</v>
      </c>
      <c r="BR11" s="25">
        <f t="shared" si="10"/>
        <v>2.8571428571428572</v>
      </c>
      <c r="BS11" s="25">
        <f t="shared" si="11"/>
        <v>15.857142857142858</v>
      </c>
      <c r="BT11" s="25">
        <f t="shared" si="12"/>
        <v>0.8571428571428571</v>
      </c>
      <c r="BU11" s="25">
        <f t="shared" si="13"/>
        <v>0.5714285714285714</v>
      </c>
      <c r="BV11" s="25">
        <f t="shared" si="14"/>
        <v>4.4285714285714288</v>
      </c>
      <c r="BW11" s="25">
        <f t="shared" si="15"/>
        <v>1.2857142857142858</v>
      </c>
      <c r="BX11" s="25"/>
      <c r="BY11" s="25"/>
      <c r="BZ11" s="2"/>
      <c r="CA11" s="19" t="s">
        <v>67</v>
      </c>
      <c r="CB11" s="2">
        <v>0</v>
      </c>
      <c r="CC11" s="2">
        <v>0</v>
      </c>
      <c r="CD11" s="2">
        <v>0</v>
      </c>
      <c r="CE11" s="2">
        <v>0</v>
      </c>
      <c r="CF11" s="2">
        <v>0</v>
      </c>
      <c r="CG11" s="2">
        <v>0</v>
      </c>
      <c r="CH11" s="2">
        <v>0</v>
      </c>
      <c r="CI11" s="2">
        <v>0</v>
      </c>
      <c r="CJ11" s="2">
        <v>0</v>
      </c>
      <c r="CK11" s="2">
        <v>0</v>
      </c>
      <c r="CL11" s="2">
        <v>0</v>
      </c>
      <c r="CM11" s="2">
        <v>0</v>
      </c>
      <c r="CN11" s="2">
        <v>0</v>
      </c>
      <c r="CP11" s="2"/>
      <c r="CR11" s="124">
        <v>44534</v>
      </c>
      <c r="CS11" s="2">
        <v>50</v>
      </c>
    </row>
    <row r="12" spans="2:99" x14ac:dyDescent="0.35">
      <c r="B12" s="19">
        <v>7</v>
      </c>
      <c r="C12" s="2">
        <v>749</v>
      </c>
      <c r="D12" s="20"/>
      <c r="E12" s="20">
        <f t="shared" si="16"/>
        <v>107</v>
      </c>
      <c r="F12" s="20"/>
      <c r="G12" s="19" t="s">
        <v>43</v>
      </c>
      <c r="H12" s="2">
        <v>42</v>
      </c>
      <c r="I12" s="2">
        <v>86</v>
      </c>
      <c r="J12" s="2">
        <v>179</v>
      </c>
      <c r="K12" s="2">
        <v>597</v>
      </c>
      <c r="L12" s="2">
        <v>349</v>
      </c>
      <c r="M12" s="2">
        <v>395</v>
      </c>
      <c r="N12" s="2">
        <v>251</v>
      </c>
      <c r="O12" s="2">
        <v>1899</v>
      </c>
      <c r="P12" s="2"/>
      <c r="Q12" s="25"/>
      <c r="R12" s="20" t="s">
        <v>50</v>
      </c>
      <c r="S12" s="25">
        <f t="shared" si="0"/>
        <v>413.14285714285717</v>
      </c>
      <c r="T12" s="25">
        <f t="shared" si="1"/>
        <v>2</v>
      </c>
      <c r="U12" s="25">
        <f>VLOOKUP($R12,$G$7:$O$1048576,4,FALSE)/7</f>
        <v>105.14285714285714</v>
      </c>
      <c r="V12" s="25">
        <f t="shared" si="3"/>
        <v>88.857142857142861</v>
      </c>
      <c r="W12" s="25">
        <f t="shared" si="4"/>
        <v>50.428571428571431</v>
      </c>
      <c r="X12" s="25">
        <f t="shared" si="5"/>
        <v>48</v>
      </c>
      <c r="Y12" s="25">
        <f>VLOOKUP($R12,$G$7:$O$1048576,2,FALSE)/7</f>
        <v>5.1428571428571432</v>
      </c>
      <c r="Z12" s="25">
        <f t="shared" si="7"/>
        <v>113.57142857142857</v>
      </c>
      <c r="AA12" s="25"/>
      <c r="AB12" s="25"/>
      <c r="AC12" s="19" t="s">
        <v>68</v>
      </c>
      <c r="AD12" s="2">
        <v>0</v>
      </c>
      <c r="AE12" s="2">
        <v>0</v>
      </c>
      <c r="AF12" s="2">
        <v>0</v>
      </c>
      <c r="AG12" s="2">
        <v>0</v>
      </c>
      <c r="AH12" s="2">
        <v>0</v>
      </c>
      <c r="AI12" s="2">
        <v>0</v>
      </c>
      <c r="AJ12" s="2">
        <v>0</v>
      </c>
      <c r="AK12" s="2">
        <v>0</v>
      </c>
      <c r="AL12" s="2">
        <v>0</v>
      </c>
      <c r="AM12" s="2">
        <v>0</v>
      </c>
      <c r="AN12" s="2">
        <v>0</v>
      </c>
      <c r="AO12" s="2">
        <v>0</v>
      </c>
      <c r="AP12" s="2">
        <v>0</v>
      </c>
      <c r="AS12" s="124">
        <v>44535</v>
      </c>
      <c r="AT12" s="2">
        <v>193</v>
      </c>
      <c r="AX12" s="26"/>
      <c r="AY12" s="19">
        <v>7</v>
      </c>
      <c r="AZ12" s="2">
        <v>181</v>
      </c>
      <c r="BA12" s="26">
        <f t="shared" si="17"/>
        <v>25.857142857142858</v>
      </c>
      <c r="BB12" s="26"/>
      <c r="BC12" s="25"/>
      <c r="BD12" s="19" t="s">
        <v>43</v>
      </c>
      <c r="BE12" s="2">
        <v>4</v>
      </c>
      <c r="BF12" s="2">
        <v>16</v>
      </c>
      <c r="BG12" s="2">
        <v>22</v>
      </c>
      <c r="BH12" s="2">
        <v>96</v>
      </c>
      <c r="BI12" s="2">
        <v>59</v>
      </c>
      <c r="BJ12" s="2">
        <v>104</v>
      </c>
      <c r="BK12" s="2">
        <v>38</v>
      </c>
      <c r="BL12" s="2">
        <v>339</v>
      </c>
      <c r="BM12" s="2"/>
      <c r="BN12" s="2"/>
      <c r="BO12" s="20" t="s">
        <v>48</v>
      </c>
      <c r="BP12" s="25">
        <f t="shared" si="8"/>
        <v>25.857142857142858</v>
      </c>
      <c r="BQ12" s="25">
        <f>VLOOKUP($BO12, $BD$7:$BL$875, 3,FALSE)/7</f>
        <v>0</v>
      </c>
      <c r="BR12" s="25">
        <f t="shared" si="10"/>
        <v>2</v>
      </c>
      <c r="BS12" s="25">
        <f t="shared" si="11"/>
        <v>10.285714285714286</v>
      </c>
      <c r="BT12" s="25">
        <f t="shared" si="12"/>
        <v>1.5714285714285714</v>
      </c>
      <c r="BU12" s="25">
        <f t="shared" si="13"/>
        <v>0.5714285714285714</v>
      </c>
      <c r="BV12" s="25">
        <f t="shared" si="14"/>
        <v>8.8571428571428577</v>
      </c>
      <c r="BW12" s="25">
        <f t="shared" si="15"/>
        <v>2.5714285714285716</v>
      </c>
      <c r="BX12" s="25"/>
      <c r="BY12" s="25"/>
      <c r="BZ12" s="2"/>
      <c r="CA12" s="19" t="s">
        <v>68</v>
      </c>
      <c r="CB12" s="2">
        <v>0</v>
      </c>
      <c r="CC12" s="2">
        <v>0</v>
      </c>
      <c r="CD12" s="2">
        <v>0</v>
      </c>
      <c r="CE12" s="2">
        <v>0</v>
      </c>
      <c r="CF12" s="2">
        <v>0</v>
      </c>
      <c r="CG12" s="2">
        <v>0</v>
      </c>
      <c r="CH12" s="2">
        <v>0</v>
      </c>
      <c r="CI12" s="2">
        <v>0</v>
      </c>
      <c r="CJ12" s="2">
        <v>0</v>
      </c>
      <c r="CK12" s="2">
        <v>0</v>
      </c>
      <c r="CL12" s="2">
        <v>0</v>
      </c>
      <c r="CM12" s="2">
        <v>0</v>
      </c>
      <c r="CN12" s="2">
        <v>0</v>
      </c>
      <c r="CP12" s="2"/>
      <c r="CR12" s="124">
        <v>44535</v>
      </c>
      <c r="CS12" s="2">
        <v>24</v>
      </c>
    </row>
    <row r="13" spans="2:99" x14ac:dyDescent="0.35">
      <c r="B13" s="19">
        <v>8</v>
      </c>
      <c r="C13" s="2">
        <v>1689</v>
      </c>
      <c r="D13" s="20"/>
      <c r="E13" s="20">
        <f t="shared" si="16"/>
        <v>241.28571428571428</v>
      </c>
      <c r="F13" s="20"/>
      <c r="G13" s="19" t="s">
        <v>44</v>
      </c>
      <c r="H13" s="2">
        <v>119</v>
      </c>
      <c r="I13" s="2">
        <v>110</v>
      </c>
      <c r="J13" s="2">
        <v>158</v>
      </c>
      <c r="K13" s="2">
        <v>985</v>
      </c>
      <c r="L13" s="2">
        <v>198</v>
      </c>
      <c r="M13" s="2">
        <v>383</v>
      </c>
      <c r="N13" s="2">
        <v>272</v>
      </c>
      <c r="O13" s="2">
        <v>2225</v>
      </c>
      <c r="P13" s="2"/>
      <c r="Q13" s="25"/>
      <c r="R13" s="20" t="s">
        <v>51</v>
      </c>
      <c r="S13" s="25">
        <f t="shared" si="0"/>
        <v>382.14285714285717</v>
      </c>
      <c r="T13" s="25">
        <f t="shared" si="1"/>
        <v>20.571428571428573</v>
      </c>
      <c r="U13" s="25">
        <f t="shared" si="2"/>
        <v>130.71428571428572</v>
      </c>
      <c r="V13" s="25">
        <f t="shared" si="3"/>
        <v>62.428571428571431</v>
      </c>
      <c r="W13" s="25">
        <f t="shared" si="4"/>
        <v>50.142857142857146</v>
      </c>
      <c r="X13" s="25">
        <f t="shared" si="5"/>
        <v>49</v>
      </c>
      <c r="Y13" s="25">
        <f t="shared" si="6"/>
        <v>5.2857142857142856</v>
      </c>
      <c r="Z13" s="25">
        <f t="shared" si="7"/>
        <v>64</v>
      </c>
      <c r="AA13" s="25"/>
      <c r="AB13" s="25"/>
      <c r="AC13" s="19" t="s">
        <v>286</v>
      </c>
      <c r="AD13" s="2">
        <v>0</v>
      </c>
      <c r="AE13" s="2">
        <v>0</v>
      </c>
      <c r="AF13" s="2">
        <v>0</v>
      </c>
      <c r="AG13" s="2">
        <v>0</v>
      </c>
      <c r="AH13" s="2">
        <v>0</v>
      </c>
      <c r="AI13" s="2">
        <v>0</v>
      </c>
      <c r="AJ13" s="2">
        <v>0</v>
      </c>
      <c r="AK13" s="2">
        <v>0</v>
      </c>
      <c r="AL13" s="2">
        <v>0</v>
      </c>
      <c r="AM13" s="2">
        <v>0</v>
      </c>
      <c r="AN13" s="2">
        <v>0</v>
      </c>
      <c r="AO13" s="2">
        <v>0</v>
      </c>
      <c r="AP13" s="2">
        <v>0</v>
      </c>
      <c r="AS13" s="124">
        <v>44536</v>
      </c>
      <c r="AT13" s="2">
        <v>207</v>
      </c>
      <c r="AX13" s="26"/>
      <c r="AY13" s="19">
        <v>8</v>
      </c>
      <c r="AZ13" s="2">
        <v>359</v>
      </c>
      <c r="BA13" s="26">
        <f t="shared" si="17"/>
        <v>51.285714285714285</v>
      </c>
      <c r="BB13" s="26"/>
      <c r="BC13" s="25"/>
      <c r="BD13" s="19" t="s">
        <v>44</v>
      </c>
      <c r="BE13" s="2">
        <v>43</v>
      </c>
      <c r="BF13" s="2">
        <v>19</v>
      </c>
      <c r="BG13" s="2">
        <v>60</v>
      </c>
      <c r="BH13" s="2">
        <v>285</v>
      </c>
      <c r="BI13" s="2">
        <v>36</v>
      </c>
      <c r="BJ13" s="2">
        <v>141</v>
      </c>
      <c r="BK13" s="2">
        <v>68</v>
      </c>
      <c r="BL13" s="2">
        <v>652</v>
      </c>
      <c r="BM13" s="2"/>
      <c r="BN13" s="2"/>
      <c r="BO13" s="20" t="s">
        <v>49</v>
      </c>
      <c r="BP13" s="25">
        <f t="shared" si="8"/>
        <v>51.285714285714285</v>
      </c>
      <c r="BQ13" s="25">
        <f t="shared" si="9"/>
        <v>0.14285714285714285</v>
      </c>
      <c r="BR13" s="25">
        <f>VLOOKUP($BO13, $BD$7:$BL$875, 4,FALSE)/7</f>
        <v>2.8571428571428572</v>
      </c>
      <c r="BS13" s="25">
        <f t="shared" si="11"/>
        <v>9.1428571428571423</v>
      </c>
      <c r="BT13" s="25">
        <f t="shared" si="12"/>
        <v>8.4285714285714288</v>
      </c>
      <c r="BU13" s="25">
        <f t="shared" si="13"/>
        <v>12.714285714285714</v>
      </c>
      <c r="BV13" s="25">
        <f>VLOOKUP($BO13, $BD$7:$BL$875, 2,FALSE)/7</f>
        <v>8</v>
      </c>
      <c r="BW13" s="25">
        <f t="shared" si="15"/>
        <v>10</v>
      </c>
      <c r="BX13" s="25"/>
      <c r="BY13" s="25"/>
      <c r="BZ13" s="2"/>
      <c r="CA13" s="19" t="s">
        <v>286</v>
      </c>
      <c r="CB13" s="2">
        <v>0</v>
      </c>
      <c r="CC13" s="2">
        <v>0</v>
      </c>
      <c r="CD13" s="2">
        <v>0</v>
      </c>
      <c r="CE13" s="2">
        <v>0</v>
      </c>
      <c r="CF13" s="2">
        <v>0</v>
      </c>
      <c r="CG13" s="2">
        <v>0</v>
      </c>
      <c r="CH13" s="2">
        <v>0</v>
      </c>
      <c r="CI13" s="2">
        <v>0</v>
      </c>
      <c r="CJ13" s="2">
        <v>0</v>
      </c>
      <c r="CK13" s="2">
        <v>0</v>
      </c>
      <c r="CL13" s="2">
        <v>0</v>
      </c>
      <c r="CM13" s="2">
        <v>0</v>
      </c>
      <c r="CN13" s="2">
        <v>0</v>
      </c>
      <c r="CP13" s="2"/>
      <c r="CR13" s="124">
        <v>44536</v>
      </c>
      <c r="CS13" s="2">
        <v>27</v>
      </c>
    </row>
    <row r="14" spans="2:99" x14ac:dyDescent="0.35">
      <c r="B14" s="19">
        <v>9</v>
      </c>
      <c r="C14" s="2">
        <v>2892</v>
      </c>
      <c r="D14" s="20"/>
      <c r="E14" s="20">
        <f t="shared" si="16"/>
        <v>413.14285714285717</v>
      </c>
      <c r="F14" s="20"/>
      <c r="G14" s="19" t="s">
        <v>45</v>
      </c>
      <c r="H14" s="2">
        <v>252</v>
      </c>
      <c r="I14" s="2">
        <v>33</v>
      </c>
      <c r="J14" s="2">
        <v>61</v>
      </c>
      <c r="K14" s="2">
        <v>940</v>
      </c>
      <c r="L14" s="2">
        <v>221</v>
      </c>
      <c r="M14" s="2">
        <v>263</v>
      </c>
      <c r="N14" s="2">
        <v>141</v>
      </c>
      <c r="O14" s="2">
        <v>1911</v>
      </c>
      <c r="P14" s="2"/>
      <c r="Q14" s="25"/>
      <c r="R14" s="20" t="s">
        <v>52</v>
      </c>
      <c r="S14" s="25">
        <f t="shared" si="0"/>
        <v>226.42857142857142</v>
      </c>
      <c r="T14" s="25">
        <f t="shared" si="1"/>
        <v>22.428571428571427</v>
      </c>
      <c r="U14" s="25">
        <f t="shared" si="2"/>
        <v>119.28571428571429</v>
      </c>
      <c r="V14" s="25">
        <f t="shared" si="3"/>
        <v>29.857142857142858</v>
      </c>
      <c r="W14" s="25">
        <f t="shared" si="4"/>
        <v>17.857142857142858</v>
      </c>
      <c r="X14" s="25">
        <f t="shared" si="5"/>
        <v>15.428571428571429</v>
      </c>
      <c r="Y14" s="25">
        <f t="shared" si="6"/>
        <v>2.8571428571428572</v>
      </c>
      <c r="Z14" s="25">
        <f t="shared" si="7"/>
        <v>18.714285714285715</v>
      </c>
      <c r="AA14" s="25"/>
      <c r="AB14" s="25"/>
      <c r="AC14" s="19" t="s">
        <v>69</v>
      </c>
      <c r="AD14" s="2">
        <v>0</v>
      </c>
      <c r="AE14" s="2">
        <v>0</v>
      </c>
      <c r="AF14" s="2">
        <v>0</v>
      </c>
      <c r="AG14" s="2">
        <v>0</v>
      </c>
      <c r="AH14" s="2">
        <v>0</v>
      </c>
      <c r="AI14" s="2">
        <v>0</v>
      </c>
      <c r="AJ14" s="2">
        <v>0</v>
      </c>
      <c r="AK14" s="2">
        <v>0</v>
      </c>
      <c r="AL14" s="2">
        <v>0</v>
      </c>
      <c r="AM14" s="2">
        <v>0</v>
      </c>
      <c r="AN14" s="2">
        <v>0</v>
      </c>
      <c r="AO14" s="2">
        <v>0</v>
      </c>
      <c r="AP14" s="2">
        <v>0</v>
      </c>
      <c r="AS14" s="124">
        <v>44537</v>
      </c>
      <c r="AT14" s="2">
        <v>233</v>
      </c>
      <c r="AX14" s="26"/>
      <c r="AY14" s="19">
        <v>9</v>
      </c>
      <c r="AZ14" s="2">
        <v>667</v>
      </c>
      <c r="BA14" s="26">
        <f t="shared" si="17"/>
        <v>95.285714285714292</v>
      </c>
      <c r="BB14" s="26"/>
      <c r="BC14" s="25"/>
      <c r="BD14" s="19" t="s">
        <v>45</v>
      </c>
      <c r="BE14" s="2">
        <v>43</v>
      </c>
      <c r="BF14" s="2">
        <v>8</v>
      </c>
      <c r="BG14" s="2">
        <v>32</v>
      </c>
      <c r="BH14" s="2">
        <v>215</v>
      </c>
      <c r="BI14" s="2">
        <v>69</v>
      </c>
      <c r="BJ14" s="2">
        <v>76</v>
      </c>
      <c r="BK14" s="2">
        <v>77</v>
      </c>
      <c r="BL14" s="2">
        <v>520</v>
      </c>
      <c r="BM14" s="2"/>
      <c r="BN14" s="2"/>
      <c r="BO14" s="20" t="s">
        <v>50</v>
      </c>
      <c r="BP14" s="25">
        <f t="shared" si="8"/>
        <v>95.285714285714292</v>
      </c>
      <c r="BQ14" s="25">
        <f t="shared" si="9"/>
        <v>0.8571428571428571</v>
      </c>
      <c r="BR14" s="25">
        <f t="shared" si="10"/>
        <v>20</v>
      </c>
      <c r="BS14" s="25">
        <f t="shared" si="11"/>
        <v>22.428571428571427</v>
      </c>
      <c r="BT14" s="25">
        <f t="shared" si="12"/>
        <v>11.714285714285714</v>
      </c>
      <c r="BU14" s="25">
        <f>VLOOKUP($BO14, $BD$7:$BL$875, 8,FALSE)/7</f>
        <v>10.285714285714286</v>
      </c>
      <c r="BV14" s="25">
        <f t="shared" si="14"/>
        <v>1.8571428571428572</v>
      </c>
      <c r="BW14" s="25">
        <f t="shared" si="15"/>
        <v>28.142857142857142</v>
      </c>
      <c r="BX14" s="25"/>
      <c r="BY14" s="25"/>
      <c r="BZ14" s="2"/>
      <c r="CA14" s="19" t="s">
        <v>69</v>
      </c>
      <c r="CB14" s="2">
        <v>0</v>
      </c>
      <c r="CC14" s="2">
        <v>0</v>
      </c>
      <c r="CD14" s="2">
        <v>0</v>
      </c>
      <c r="CE14" s="2">
        <v>0</v>
      </c>
      <c r="CF14" s="2">
        <v>0</v>
      </c>
      <c r="CG14" s="2">
        <v>0</v>
      </c>
      <c r="CH14" s="2">
        <v>0</v>
      </c>
      <c r="CI14" s="2">
        <v>0</v>
      </c>
      <c r="CJ14" s="2">
        <v>0</v>
      </c>
      <c r="CK14" s="2">
        <v>0</v>
      </c>
      <c r="CL14" s="2">
        <v>0</v>
      </c>
      <c r="CM14" s="2">
        <v>0</v>
      </c>
      <c r="CN14" s="2">
        <v>0</v>
      </c>
      <c r="CP14" s="2"/>
      <c r="CR14" s="124">
        <v>44537</v>
      </c>
      <c r="CS14" s="2">
        <v>33</v>
      </c>
    </row>
    <row r="15" spans="2:99" x14ac:dyDescent="0.35">
      <c r="B15" s="19">
        <v>10</v>
      </c>
      <c r="C15" s="2">
        <v>2675</v>
      </c>
      <c r="D15" s="20"/>
      <c r="E15" s="20">
        <f t="shared" si="16"/>
        <v>382.14285714285717</v>
      </c>
      <c r="F15" s="20"/>
      <c r="G15" s="19" t="s">
        <v>46</v>
      </c>
      <c r="H15" s="2">
        <v>663</v>
      </c>
      <c r="I15" s="2">
        <v>2</v>
      </c>
      <c r="J15" s="2">
        <v>97</v>
      </c>
      <c r="K15" s="2">
        <v>830</v>
      </c>
      <c r="L15" s="2">
        <v>134</v>
      </c>
      <c r="M15" s="2">
        <v>181</v>
      </c>
      <c r="N15" s="2">
        <v>73</v>
      </c>
      <c r="O15" s="2">
        <v>1980</v>
      </c>
      <c r="P15" s="2"/>
      <c r="Q15" s="25"/>
      <c r="R15" s="20" t="s">
        <v>53</v>
      </c>
      <c r="S15" s="25">
        <f>VLOOKUP($R15,$G$7:$O$1048576,9,FALSE)/7</f>
        <v>203.14285714285714</v>
      </c>
      <c r="T15" s="25">
        <f t="shared" si="1"/>
        <v>6.2857142857142856</v>
      </c>
      <c r="U15" s="25">
        <f t="shared" si="2"/>
        <v>97.571428571428569</v>
      </c>
      <c r="V15" s="25">
        <f t="shared" si="3"/>
        <v>29</v>
      </c>
      <c r="W15" s="25">
        <f t="shared" si="4"/>
        <v>26.142857142857142</v>
      </c>
      <c r="X15" s="25">
        <f t="shared" si="5"/>
        <v>16</v>
      </c>
      <c r="Y15" s="25">
        <f t="shared" si="6"/>
        <v>3.2857142857142856</v>
      </c>
      <c r="Z15" s="25">
        <f t="shared" si="7"/>
        <v>24.857142857142858</v>
      </c>
      <c r="AA15" s="25"/>
      <c r="AB15" s="25"/>
      <c r="AC15" s="19" t="s">
        <v>70</v>
      </c>
      <c r="AD15" s="2">
        <v>0</v>
      </c>
      <c r="AE15" s="2">
        <v>0</v>
      </c>
      <c r="AF15" s="2">
        <v>0</v>
      </c>
      <c r="AG15" s="2">
        <v>0</v>
      </c>
      <c r="AH15" s="2">
        <v>0</v>
      </c>
      <c r="AI15" s="2">
        <v>0</v>
      </c>
      <c r="AJ15" s="2">
        <v>0</v>
      </c>
      <c r="AK15" s="2">
        <v>0</v>
      </c>
      <c r="AL15" s="2">
        <v>0</v>
      </c>
      <c r="AM15" s="2">
        <v>0</v>
      </c>
      <c r="AN15" s="2">
        <v>0</v>
      </c>
      <c r="AO15" s="2">
        <v>0</v>
      </c>
      <c r="AP15" s="2">
        <v>14</v>
      </c>
      <c r="AS15" s="124">
        <v>44538</v>
      </c>
      <c r="AT15" s="2">
        <v>279</v>
      </c>
      <c r="AX15" s="26"/>
      <c r="AY15" s="19">
        <v>10</v>
      </c>
      <c r="AZ15" s="2">
        <v>557</v>
      </c>
      <c r="BA15" s="26">
        <f t="shared" si="17"/>
        <v>79.571428571428569</v>
      </c>
      <c r="BB15" s="26"/>
      <c r="BC15" s="25"/>
      <c r="BD15" s="19" t="s">
        <v>46</v>
      </c>
      <c r="BE15" s="2">
        <v>101</v>
      </c>
      <c r="BF15" s="2">
        <v>0</v>
      </c>
      <c r="BG15" s="2">
        <v>41</v>
      </c>
      <c r="BH15" s="2">
        <v>147</v>
      </c>
      <c r="BI15" s="2">
        <v>17</v>
      </c>
      <c r="BJ15" s="2">
        <v>52</v>
      </c>
      <c r="BK15" s="2">
        <v>29</v>
      </c>
      <c r="BL15" s="2">
        <v>387</v>
      </c>
      <c r="BM15" s="2"/>
      <c r="BN15" s="2"/>
      <c r="BO15" s="20" t="s">
        <v>51</v>
      </c>
      <c r="BP15" s="25">
        <f>VLOOKUP($BO15, $BD$7:$BL$875, 9,FALSE)/7</f>
        <v>79.571428571428569</v>
      </c>
      <c r="BQ15" s="25">
        <f t="shared" si="9"/>
        <v>4.5714285714285712</v>
      </c>
      <c r="BR15" s="25">
        <f t="shared" si="10"/>
        <v>18.857142857142858</v>
      </c>
      <c r="BS15" s="25">
        <f t="shared" si="11"/>
        <v>14.428571428571429</v>
      </c>
      <c r="BT15" s="25">
        <f t="shared" si="12"/>
        <v>14.714285714285714</v>
      </c>
      <c r="BU15" s="25">
        <f t="shared" si="13"/>
        <v>8.7142857142857135</v>
      </c>
      <c r="BV15" s="25">
        <f t="shared" si="14"/>
        <v>4.5714285714285712</v>
      </c>
      <c r="BW15" s="25">
        <f t="shared" si="15"/>
        <v>13.714285714285714</v>
      </c>
      <c r="BX15" s="25"/>
      <c r="BY15" s="25"/>
      <c r="BZ15" s="2"/>
      <c r="CA15" s="19" t="s">
        <v>70</v>
      </c>
      <c r="CB15" s="2">
        <v>0</v>
      </c>
      <c r="CC15" s="2">
        <v>0</v>
      </c>
      <c r="CD15" s="2">
        <v>0</v>
      </c>
      <c r="CE15" s="2">
        <v>0</v>
      </c>
      <c r="CF15" s="2">
        <v>0</v>
      </c>
      <c r="CG15" s="2">
        <v>0</v>
      </c>
      <c r="CH15" s="2">
        <v>0</v>
      </c>
      <c r="CI15" s="2">
        <v>0</v>
      </c>
      <c r="CJ15" s="2">
        <v>0</v>
      </c>
      <c r="CK15" s="2">
        <v>0</v>
      </c>
      <c r="CL15" s="2">
        <v>0</v>
      </c>
      <c r="CM15" s="2">
        <v>0</v>
      </c>
      <c r="CN15" s="2">
        <v>3</v>
      </c>
      <c r="CP15" s="2"/>
      <c r="CQ15" s="2"/>
      <c r="CR15" s="124">
        <v>44538</v>
      </c>
      <c r="CS15" s="2">
        <v>43</v>
      </c>
    </row>
    <row r="16" spans="2:99" x14ac:dyDescent="0.35">
      <c r="B16" s="19">
        <v>11</v>
      </c>
      <c r="C16" s="2">
        <v>1585</v>
      </c>
      <c r="D16" s="20"/>
      <c r="E16" s="20">
        <f t="shared" si="16"/>
        <v>226.42857142857142</v>
      </c>
      <c r="F16" s="20"/>
      <c r="G16" s="19" t="s">
        <v>47</v>
      </c>
      <c r="H16" s="2">
        <v>157</v>
      </c>
      <c r="I16" s="2">
        <v>12</v>
      </c>
      <c r="J16" s="2">
        <v>101</v>
      </c>
      <c r="K16" s="2">
        <v>687</v>
      </c>
      <c r="L16" s="2">
        <v>109</v>
      </c>
      <c r="M16" s="2">
        <v>35</v>
      </c>
      <c r="N16" s="2">
        <v>16</v>
      </c>
      <c r="O16" s="2">
        <v>1117</v>
      </c>
      <c r="P16" s="2"/>
      <c r="Q16" s="25"/>
      <c r="R16" s="20" t="s">
        <v>54</v>
      </c>
      <c r="S16" s="25">
        <f t="shared" si="0"/>
        <v>219.85714285714286</v>
      </c>
      <c r="T16" s="25">
        <f t="shared" si="1"/>
        <v>1.1428571428571428</v>
      </c>
      <c r="U16" s="25">
        <f t="shared" si="2"/>
        <v>65</v>
      </c>
      <c r="V16" s="25">
        <f t="shared" si="3"/>
        <v>56.428571428571431</v>
      </c>
      <c r="W16" s="25">
        <f t="shared" si="4"/>
        <v>9.1428571428571423</v>
      </c>
      <c r="X16" s="25">
        <f t="shared" si="5"/>
        <v>63.285714285714285</v>
      </c>
      <c r="Y16" s="25">
        <f t="shared" si="6"/>
        <v>2.8571428571428572</v>
      </c>
      <c r="Z16" s="25">
        <f t="shared" si="7"/>
        <v>22</v>
      </c>
      <c r="AA16" s="25"/>
      <c r="AB16" s="25"/>
      <c r="AC16" s="19" t="s">
        <v>71</v>
      </c>
      <c r="AD16" s="2">
        <v>375</v>
      </c>
      <c r="AE16" s="2">
        <v>282</v>
      </c>
      <c r="AF16" s="2">
        <v>79</v>
      </c>
      <c r="AG16" s="2">
        <v>96</v>
      </c>
      <c r="AH16" s="2">
        <v>49</v>
      </c>
      <c r="AI16" s="2">
        <v>60</v>
      </c>
      <c r="AJ16" s="2">
        <v>96</v>
      </c>
      <c r="AK16" s="2">
        <v>113</v>
      </c>
      <c r="AL16" s="2">
        <v>60</v>
      </c>
      <c r="AM16" s="2">
        <v>50</v>
      </c>
      <c r="AN16" s="2">
        <v>75</v>
      </c>
      <c r="AO16" s="2">
        <v>67</v>
      </c>
      <c r="AP16" s="2">
        <v>67</v>
      </c>
      <c r="AS16" s="124">
        <v>44539</v>
      </c>
      <c r="AT16" s="2">
        <v>254</v>
      </c>
      <c r="AX16" s="26"/>
      <c r="AY16" s="19">
        <v>11</v>
      </c>
      <c r="AZ16" s="2">
        <v>313</v>
      </c>
      <c r="BA16" s="26">
        <f t="shared" si="17"/>
        <v>44.714285714285715</v>
      </c>
      <c r="BB16" s="26"/>
      <c r="BC16" s="25"/>
      <c r="BD16" s="19" t="s">
        <v>47</v>
      </c>
      <c r="BE16" s="2">
        <v>31</v>
      </c>
      <c r="BF16" s="2">
        <v>0</v>
      </c>
      <c r="BG16" s="2">
        <v>20</v>
      </c>
      <c r="BH16" s="2">
        <v>111</v>
      </c>
      <c r="BI16" s="2">
        <v>9</v>
      </c>
      <c r="BJ16" s="2">
        <v>6</v>
      </c>
      <c r="BK16" s="2">
        <v>4</v>
      </c>
      <c r="BL16" s="2">
        <v>181</v>
      </c>
      <c r="BM16" s="2"/>
      <c r="BN16" s="2"/>
      <c r="BO16" s="20" t="s">
        <v>52</v>
      </c>
      <c r="BP16" s="25">
        <f t="shared" si="8"/>
        <v>44.714285714285715</v>
      </c>
      <c r="BQ16" s="25">
        <f t="shared" si="9"/>
        <v>4.7142857142857144</v>
      </c>
      <c r="BR16" s="25">
        <f t="shared" si="10"/>
        <v>24</v>
      </c>
      <c r="BS16" s="25">
        <f t="shared" si="11"/>
        <v>7.1428571428571432</v>
      </c>
      <c r="BT16" s="25">
        <f t="shared" si="12"/>
        <v>3.1428571428571428</v>
      </c>
      <c r="BU16" s="25">
        <f t="shared" si="13"/>
        <v>2.5714285714285716</v>
      </c>
      <c r="BV16" s="25">
        <f>VLOOKUP($BO16, $BD$7:$BL$875, 2,FALSE)/7</f>
        <v>2.4285714285714284</v>
      </c>
      <c r="BW16" s="25">
        <f t="shared" si="15"/>
        <v>0.7142857142857143</v>
      </c>
      <c r="BX16" s="25"/>
      <c r="BY16" s="25"/>
      <c r="BZ16" s="2"/>
      <c r="CA16" s="19" t="s">
        <v>71</v>
      </c>
      <c r="CB16" s="2">
        <v>73</v>
      </c>
      <c r="CC16" s="2">
        <v>59</v>
      </c>
      <c r="CD16" s="2">
        <v>4</v>
      </c>
      <c r="CE16" s="2">
        <v>29</v>
      </c>
      <c r="CF16" s="2">
        <v>6</v>
      </c>
      <c r="CG16" s="2">
        <v>8</v>
      </c>
      <c r="CH16" s="2">
        <v>12</v>
      </c>
      <c r="CI16" s="2">
        <v>24</v>
      </c>
      <c r="CJ16" s="2">
        <v>10</v>
      </c>
      <c r="CK16" s="2">
        <v>10</v>
      </c>
      <c r="CL16" s="2">
        <v>4</v>
      </c>
      <c r="CM16" s="2">
        <v>1</v>
      </c>
      <c r="CN16" s="2">
        <v>11</v>
      </c>
      <c r="CP16" s="2"/>
      <c r="CR16" s="124">
        <v>44539</v>
      </c>
      <c r="CS16" s="2">
        <v>46</v>
      </c>
    </row>
    <row r="17" spans="2:97" x14ac:dyDescent="0.35">
      <c r="B17" s="19">
        <v>12</v>
      </c>
      <c r="C17" s="2">
        <v>1422</v>
      </c>
      <c r="D17" s="20"/>
      <c r="E17" s="20">
        <f t="shared" si="16"/>
        <v>203.14285714285714</v>
      </c>
      <c r="F17" s="20"/>
      <c r="G17" s="19" t="s">
        <v>48</v>
      </c>
      <c r="H17" s="2">
        <v>86</v>
      </c>
      <c r="I17" s="2">
        <v>0</v>
      </c>
      <c r="J17" s="2">
        <v>50</v>
      </c>
      <c r="K17" s="2">
        <v>190</v>
      </c>
      <c r="L17" s="2">
        <v>184</v>
      </c>
      <c r="M17" s="2">
        <v>131</v>
      </c>
      <c r="N17" s="2">
        <v>108</v>
      </c>
      <c r="O17" s="2">
        <v>749</v>
      </c>
      <c r="P17" s="2"/>
      <c r="Q17" s="25"/>
      <c r="R17" s="20"/>
      <c r="S17" s="25"/>
      <c r="T17" s="25"/>
      <c r="U17" s="25"/>
      <c r="V17" s="25"/>
      <c r="W17" s="25"/>
      <c r="X17" s="25"/>
      <c r="Y17" s="26"/>
      <c r="Z17" s="25"/>
      <c r="AA17" s="25"/>
      <c r="AB17" s="25"/>
      <c r="AC17" s="19" t="s">
        <v>72</v>
      </c>
      <c r="AD17" s="2">
        <v>30</v>
      </c>
      <c r="AE17" s="2">
        <v>12</v>
      </c>
      <c r="AF17" s="2">
        <v>4</v>
      </c>
      <c r="AG17" s="2">
        <v>0</v>
      </c>
      <c r="AH17" s="2">
        <v>0</v>
      </c>
      <c r="AI17" s="2">
        <v>16</v>
      </c>
      <c r="AJ17" s="2">
        <v>6</v>
      </c>
      <c r="AK17" s="2">
        <v>5</v>
      </c>
      <c r="AL17" s="2">
        <v>5</v>
      </c>
      <c r="AM17" s="2">
        <v>4</v>
      </c>
      <c r="AN17" s="2">
        <v>6</v>
      </c>
      <c r="AO17" s="2">
        <v>5</v>
      </c>
      <c r="AP17" s="2">
        <v>58</v>
      </c>
      <c r="AS17" s="124">
        <v>44540</v>
      </c>
      <c r="AT17" s="2">
        <v>286</v>
      </c>
      <c r="AX17" s="26"/>
      <c r="AY17" s="19">
        <v>12</v>
      </c>
      <c r="AZ17" s="2">
        <v>266</v>
      </c>
      <c r="BA17" s="26">
        <f t="shared" si="17"/>
        <v>38</v>
      </c>
      <c r="BB17" s="26"/>
      <c r="BC17" s="25"/>
      <c r="BD17" s="19" t="s">
        <v>48</v>
      </c>
      <c r="BE17" s="2">
        <v>62</v>
      </c>
      <c r="BF17" s="2">
        <v>0</v>
      </c>
      <c r="BG17" s="2">
        <v>14</v>
      </c>
      <c r="BH17" s="2">
        <v>72</v>
      </c>
      <c r="BI17" s="2">
        <v>18</v>
      </c>
      <c r="BJ17" s="2">
        <v>11</v>
      </c>
      <c r="BK17" s="2">
        <v>4</v>
      </c>
      <c r="BL17" s="2">
        <v>181</v>
      </c>
      <c r="BM17" s="2"/>
      <c r="BN17" s="2"/>
      <c r="BO17" s="20" t="s">
        <v>53</v>
      </c>
      <c r="BP17" s="25">
        <f t="shared" si="8"/>
        <v>38</v>
      </c>
      <c r="BQ17" s="25">
        <f t="shared" si="9"/>
        <v>1</v>
      </c>
      <c r="BR17" s="25">
        <f t="shared" si="10"/>
        <v>20</v>
      </c>
      <c r="BS17" s="25">
        <f t="shared" si="11"/>
        <v>5.5714285714285712</v>
      </c>
      <c r="BT17" s="25">
        <f t="shared" si="12"/>
        <v>4.2857142857142856</v>
      </c>
      <c r="BU17" s="25">
        <f>VLOOKUP($BO17, $BD$7:$BL$875, 8,FALSE)/7</f>
        <v>3.8571428571428572</v>
      </c>
      <c r="BV17" s="25">
        <f t="shared" si="14"/>
        <v>3.1428571428571428</v>
      </c>
      <c r="BW17" s="25">
        <f>VLOOKUP($BO17, $BD$7:$BL$875, 6,FALSE)/7</f>
        <v>0.14285714285714285</v>
      </c>
      <c r="BX17" s="25"/>
      <c r="BY17" s="25"/>
      <c r="BZ17" s="2"/>
      <c r="CA17" s="19" t="s">
        <v>72</v>
      </c>
      <c r="CB17" s="2">
        <v>5</v>
      </c>
      <c r="CC17" s="2">
        <v>3</v>
      </c>
      <c r="CD17" s="2">
        <v>2</v>
      </c>
      <c r="CE17" s="2">
        <v>0</v>
      </c>
      <c r="CF17" s="2">
        <v>0</v>
      </c>
      <c r="CG17" s="2">
        <v>8</v>
      </c>
      <c r="CH17" s="2">
        <v>3</v>
      </c>
      <c r="CI17" s="2">
        <v>1</v>
      </c>
      <c r="CJ17" s="2">
        <v>4</v>
      </c>
      <c r="CK17" s="2">
        <v>2</v>
      </c>
      <c r="CL17" s="2">
        <v>3</v>
      </c>
      <c r="CM17" s="2">
        <v>1</v>
      </c>
      <c r="CN17" s="2">
        <v>14</v>
      </c>
      <c r="CP17" s="2"/>
      <c r="CR17" s="124">
        <v>44540</v>
      </c>
      <c r="CS17" s="2">
        <v>67</v>
      </c>
    </row>
    <row r="18" spans="2:97" x14ac:dyDescent="0.35">
      <c r="B18" s="19">
        <v>13</v>
      </c>
      <c r="C18" s="2">
        <v>1539</v>
      </c>
      <c r="D18" s="20"/>
      <c r="E18" s="20">
        <f t="shared" si="16"/>
        <v>219.85714285714286</v>
      </c>
      <c r="F18" s="20"/>
      <c r="G18" s="19" t="s">
        <v>49</v>
      </c>
      <c r="H18" s="2">
        <v>56</v>
      </c>
      <c r="I18" s="2">
        <v>5</v>
      </c>
      <c r="J18" s="2">
        <v>86</v>
      </c>
      <c r="K18" s="2">
        <v>407</v>
      </c>
      <c r="L18" s="2">
        <v>323</v>
      </c>
      <c r="M18" s="2">
        <v>278</v>
      </c>
      <c r="N18" s="2">
        <v>534</v>
      </c>
      <c r="O18" s="2">
        <v>1689</v>
      </c>
      <c r="P18" s="2"/>
      <c r="Q18" s="25"/>
      <c r="R18" s="25"/>
      <c r="S18" s="25"/>
      <c r="T18" s="25"/>
      <c r="U18" s="25"/>
      <c r="V18" s="25"/>
      <c r="W18" s="25"/>
      <c r="X18" s="25"/>
      <c r="Y18" s="25"/>
      <c r="Z18" s="25"/>
      <c r="AA18" s="25"/>
      <c r="AB18" s="25"/>
      <c r="AC18" s="19" t="s">
        <v>73</v>
      </c>
      <c r="AD18" s="2">
        <v>0</v>
      </c>
      <c r="AE18" s="2">
        <v>0</v>
      </c>
      <c r="AF18" s="2">
        <v>5</v>
      </c>
      <c r="AG18" s="2">
        <v>0</v>
      </c>
      <c r="AH18" s="2">
        <v>0</v>
      </c>
      <c r="AI18" s="2">
        <v>0</v>
      </c>
      <c r="AJ18" s="2">
        <v>39</v>
      </c>
      <c r="AK18" s="2">
        <v>150</v>
      </c>
      <c r="AL18" s="2">
        <v>29</v>
      </c>
      <c r="AM18" s="2">
        <v>119</v>
      </c>
      <c r="AN18" s="2">
        <v>23</v>
      </c>
      <c r="AO18" s="2">
        <v>0</v>
      </c>
      <c r="AP18" s="2">
        <v>0</v>
      </c>
      <c r="AS18" s="124">
        <v>44541</v>
      </c>
      <c r="AT18" s="2">
        <v>326</v>
      </c>
      <c r="AX18" s="26"/>
      <c r="AY18" s="19">
        <v>13</v>
      </c>
      <c r="AZ18" s="2">
        <v>262</v>
      </c>
      <c r="BA18" s="26">
        <f t="shared" si="17"/>
        <v>37.428571428571431</v>
      </c>
      <c r="BB18" s="26"/>
      <c r="BC18" s="25"/>
      <c r="BD18" s="19" t="s">
        <v>49</v>
      </c>
      <c r="BE18" s="2">
        <v>56</v>
      </c>
      <c r="BF18" s="2">
        <v>1</v>
      </c>
      <c r="BG18" s="2">
        <v>20</v>
      </c>
      <c r="BH18" s="2">
        <v>64</v>
      </c>
      <c r="BI18" s="2">
        <v>70</v>
      </c>
      <c r="BJ18" s="2">
        <v>59</v>
      </c>
      <c r="BK18" s="2">
        <v>89</v>
      </c>
      <c r="BL18" s="2">
        <v>359</v>
      </c>
      <c r="BM18" s="2"/>
      <c r="BN18" s="2"/>
      <c r="BO18" s="20" t="s">
        <v>54</v>
      </c>
      <c r="BP18" s="25">
        <f t="shared" si="8"/>
        <v>37.428571428571431</v>
      </c>
      <c r="BQ18" s="25">
        <f t="shared" si="9"/>
        <v>0.2857142857142857</v>
      </c>
      <c r="BR18" s="25">
        <f t="shared" si="10"/>
        <v>9.1428571428571423</v>
      </c>
      <c r="BS18" s="25">
        <f t="shared" si="11"/>
        <v>8.8571428571428577</v>
      </c>
      <c r="BT18" s="25">
        <f t="shared" si="12"/>
        <v>1.7142857142857142</v>
      </c>
      <c r="BU18" s="25">
        <f t="shared" si="13"/>
        <v>12.285714285714286</v>
      </c>
      <c r="BV18" s="25">
        <f t="shared" si="14"/>
        <v>2.8571428571428572</v>
      </c>
      <c r="BW18" s="25">
        <f t="shared" si="15"/>
        <v>2.2857142857142856</v>
      </c>
      <c r="BX18" s="25"/>
      <c r="BY18" s="25"/>
      <c r="BZ18" s="2"/>
      <c r="CA18" s="19" t="s">
        <v>73</v>
      </c>
      <c r="CB18" s="2">
        <v>0</v>
      </c>
      <c r="CC18" s="2">
        <v>0</v>
      </c>
      <c r="CD18" s="2">
        <v>0</v>
      </c>
      <c r="CE18" s="2">
        <v>0</v>
      </c>
      <c r="CF18" s="2">
        <v>0</v>
      </c>
      <c r="CG18" s="2">
        <v>0</v>
      </c>
      <c r="CH18" s="2">
        <v>6</v>
      </c>
      <c r="CI18" s="2">
        <v>40</v>
      </c>
      <c r="CJ18" s="2">
        <v>7</v>
      </c>
      <c r="CK18" s="2">
        <v>34</v>
      </c>
      <c r="CL18" s="2">
        <v>6</v>
      </c>
      <c r="CM18" s="2">
        <v>0</v>
      </c>
      <c r="CN18" s="2">
        <v>0</v>
      </c>
      <c r="CP18" s="2"/>
      <c r="CR18" s="124">
        <v>44541</v>
      </c>
      <c r="CS18" s="2">
        <v>62</v>
      </c>
    </row>
    <row r="19" spans="2:97" x14ac:dyDescent="0.35">
      <c r="D19" s="20"/>
      <c r="E19" s="20">
        <f t="shared" si="16"/>
        <v>0</v>
      </c>
      <c r="F19" s="20"/>
      <c r="G19" s="19" t="s">
        <v>50</v>
      </c>
      <c r="H19" s="2">
        <v>36</v>
      </c>
      <c r="I19" s="2">
        <v>14</v>
      </c>
      <c r="J19" s="2">
        <v>736</v>
      </c>
      <c r="K19" s="2">
        <v>622</v>
      </c>
      <c r="L19" s="2">
        <v>795</v>
      </c>
      <c r="M19" s="2">
        <v>353</v>
      </c>
      <c r="N19" s="2">
        <v>336</v>
      </c>
      <c r="O19" s="2">
        <v>2892</v>
      </c>
      <c r="P19" s="2"/>
      <c r="Q19" s="25"/>
      <c r="R19" s="25"/>
      <c r="S19" s="25"/>
      <c r="T19" s="25"/>
      <c r="U19" s="25"/>
      <c r="V19" s="25"/>
      <c r="W19" s="25"/>
      <c r="X19" s="25"/>
      <c r="Y19" s="25"/>
      <c r="Z19" s="25"/>
      <c r="AA19" s="25"/>
      <c r="AB19" s="25"/>
      <c r="AC19" s="19" t="s">
        <v>74</v>
      </c>
      <c r="AD19" s="2">
        <v>0</v>
      </c>
      <c r="AE19" s="2">
        <v>0</v>
      </c>
      <c r="AF19" s="2">
        <v>107</v>
      </c>
      <c r="AG19" s="2">
        <v>150</v>
      </c>
      <c r="AH19" s="2">
        <v>164</v>
      </c>
      <c r="AI19" s="2">
        <v>315</v>
      </c>
      <c r="AJ19" s="2">
        <v>31</v>
      </c>
      <c r="AK19" s="2">
        <v>197</v>
      </c>
      <c r="AL19" s="2">
        <v>298</v>
      </c>
      <c r="AM19" s="2">
        <v>117</v>
      </c>
      <c r="AN19" s="2">
        <v>91</v>
      </c>
      <c r="AO19" s="2">
        <v>0</v>
      </c>
      <c r="AP19" s="2">
        <v>0</v>
      </c>
      <c r="AS19" s="124">
        <v>44542</v>
      </c>
      <c r="AT19" s="2">
        <v>314</v>
      </c>
      <c r="AX19" s="26"/>
      <c r="BA19" s="26">
        <f t="shared" si="17"/>
        <v>0</v>
      </c>
      <c r="BB19" s="26"/>
      <c r="BC19" s="25"/>
      <c r="BD19" s="19" t="s">
        <v>50</v>
      </c>
      <c r="BE19" s="2">
        <v>13</v>
      </c>
      <c r="BF19" s="2">
        <v>6</v>
      </c>
      <c r="BG19" s="2">
        <v>140</v>
      </c>
      <c r="BH19" s="2">
        <v>157</v>
      </c>
      <c r="BI19" s="2">
        <v>197</v>
      </c>
      <c r="BJ19" s="2">
        <v>82</v>
      </c>
      <c r="BK19" s="2">
        <v>72</v>
      </c>
      <c r="BL19" s="2">
        <v>667</v>
      </c>
      <c r="BM19" s="2"/>
      <c r="BN19" s="2"/>
      <c r="BO19" s="20"/>
      <c r="BP19" s="25"/>
      <c r="BQ19" s="25"/>
      <c r="BR19" s="25"/>
      <c r="BS19" s="25"/>
      <c r="BT19" s="25"/>
      <c r="BU19" s="25"/>
      <c r="BV19" s="25"/>
      <c r="BW19" s="25"/>
      <c r="BX19" s="25"/>
      <c r="BY19" s="25"/>
      <c r="BZ19" s="2"/>
      <c r="CA19" s="19" t="s">
        <v>74</v>
      </c>
      <c r="CB19" s="2">
        <v>0</v>
      </c>
      <c r="CC19" s="2">
        <v>0</v>
      </c>
      <c r="CD19" s="2">
        <v>27</v>
      </c>
      <c r="CE19" s="2">
        <v>39</v>
      </c>
      <c r="CF19" s="2">
        <v>10</v>
      </c>
      <c r="CG19" s="2">
        <v>38</v>
      </c>
      <c r="CH19" s="2">
        <v>25</v>
      </c>
      <c r="CI19" s="2">
        <v>43</v>
      </c>
      <c r="CJ19" s="2">
        <v>87</v>
      </c>
      <c r="CK19" s="2">
        <v>32</v>
      </c>
      <c r="CL19" s="2">
        <v>24</v>
      </c>
      <c r="CM19" s="2">
        <v>0</v>
      </c>
      <c r="CN19" s="2">
        <v>0</v>
      </c>
      <c r="CP19" s="2"/>
      <c r="CR19" s="124">
        <v>44542</v>
      </c>
      <c r="CS19" s="2">
        <v>61</v>
      </c>
    </row>
    <row r="20" spans="2:97" x14ac:dyDescent="0.35">
      <c r="D20" s="20"/>
      <c r="E20" s="20">
        <f t="shared" si="16"/>
        <v>0</v>
      </c>
      <c r="F20" s="20"/>
      <c r="G20" s="19" t="s">
        <v>38</v>
      </c>
      <c r="H20" s="2">
        <v>1557</v>
      </c>
      <c r="I20" s="2">
        <v>664</v>
      </c>
      <c r="J20" s="2">
        <v>4431</v>
      </c>
      <c r="K20" s="2">
        <v>6744</v>
      </c>
      <c r="L20" s="2">
        <v>3631</v>
      </c>
      <c r="M20" s="2">
        <v>3051</v>
      </c>
      <c r="N20" s="2">
        <v>3123</v>
      </c>
      <c r="O20" s="2">
        <v>23201</v>
      </c>
      <c r="P20" s="2"/>
      <c r="AC20" s="19" t="s">
        <v>75</v>
      </c>
      <c r="AD20" s="2">
        <v>0</v>
      </c>
      <c r="AE20" s="2">
        <v>18</v>
      </c>
      <c r="AF20" s="2">
        <v>5</v>
      </c>
      <c r="AG20" s="2">
        <v>0</v>
      </c>
      <c r="AH20" s="2">
        <v>4</v>
      </c>
      <c r="AI20" s="2">
        <v>0</v>
      </c>
      <c r="AJ20" s="2">
        <v>0</v>
      </c>
      <c r="AK20" s="2">
        <v>0</v>
      </c>
      <c r="AL20" s="2">
        <v>0</v>
      </c>
      <c r="AM20" s="2">
        <v>0</v>
      </c>
      <c r="AN20" s="2">
        <v>0</v>
      </c>
      <c r="AO20" s="2">
        <v>0</v>
      </c>
      <c r="AP20" s="2">
        <v>0</v>
      </c>
      <c r="AS20" s="124">
        <v>44543</v>
      </c>
      <c r="AT20" s="2">
        <v>302</v>
      </c>
      <c r="AX20" s="26"/>
      <c r="BA20" s="26">
        <f>AZ20/7</f>
        <v>0</v>
      </c>
      <c r="BB20" s="26"/>
      <c r="BD20" s="19" t="s">
        <v>38</v>
      </c>
      <c r="BE20" s="2">
        <v>490</v>
      </c>
      <c r="BF20" s="2">
        <v>143</v>
      </c>
      <c r="BG20" s="2">
        <v>870</v>
      </c>
      <c r="BH20" s="2">
        <v>1462</v>
      </c>
      <c r="BI20" s="2">
        <v>667</v>
      </c>
      <c r="BJ20" s="2">
        <v>779</v>
      </c>
      <c r="BK20" s="2">
        <v>605</v>
      </c>
      <c r="BL20" s="2">
        <v>5016</v>
      </c>
      <c r="BM20" s="2"/>
      <c r="BN20" s="2"/>
      <c r="BZ20" s="2"/>
      <c r="CA20" s="19" t="s">
        <v>75</v>
      </c>
      <c r="CB20" s="2">
        <v>0</v>
      </c>
      <c r="CC20" s="2">
        <v>0</v>
      </c>
      <c r="CD20" s="2">
        <v>1</v>
      </c>
      <c r="CE20" s="2">
        <v>0</v>
      </c>
      <c r="CF20" s="2">
        <v>3</v>
      </c>
      <c r="CG20" s="2">
        <v>0</v>
      </c>
      <c r="CH20" s="2">
        <v>0</v>
      </c>
      <c r="CI20" s="2">
        <v>0</v>
      </c>
      <c r="CJ20" s="2">
        <v>0</v>
      </c>
      <c r="CK20" s="2">
        <v>0</v>
      </c>
      <c r="CL20" s="2">
        <v>0</v>
      </c>
      <c r="CM20" s="2">
        <v>0</v>
      </c>
      <c r="CN20" s="2">
        <v>0</v>
      </c>
      <c r="CP20" s="2"/>
      <c r="CR20" s="124">
        <v>44543</v>
      </c>
      <c r="CS20" s="2">
        <v>68</v>
      </c>
    </row>
    <row r="21" spans="2:97" x14ac:dyDescent="0.35">
      <c r="AC21" s="19" t="s">
        <v>76</v>
      </c>
      <c r="AD21" s="2">
        <v>0</v>
      </c>
      <c r="AE21" s="2">
        <v>0</v>
      </c>
      <c r="AF21" s="2">
        <v>0</v>
      </c>
      <c r="AG21" s="2">
        <v>0</v>
      </c>
      <c r="AH21" s="2">
        <v>0</v>
      </c>
      <c r="AI21" s="2">
        <v>0</v>
      </c>
      <c r="AJ21" s="2">
        <v>0</v>
      </c>
      <c r="AK21" s="2">
        <v>0</v>
      </c>
      <c r="AL21" s="2">
        <v>0</v>
      </c>
      <c r="AM21" s="2">
        <v>0</v>
      </c>
      <c r="AN21" s="2">
        <v>0</v>
      </c>
      <c r="AO21" s="2">
        <v>0</v>
      </c>
      <c r="AP21" s="2">
        <v>0</v>
      </c>
      <c r="AS21" s="124">
        <v>44544</v>
      </c>
      <c r="AT21" s="2">
        <v>287</v>
      </c>
      <c r="BZ21" s="2"/>
      <c r="CA21" s="19" t="s">
        <v>76</v>
      </c>
      <c r="CB21" s="2">
        <v>0</v>
      </c>
      <c r="CC21" s="2">
        <v>0</v>
      </c>
      <c r="CD21" s="2">
        <v>0</v>
      </c>
      <c r="CE21" s="2">
        <v>0</v>
      </c>
      <c r="CF21" s="2">
        <v>0</v>
      </c>
      <c r="CG21" s="2">
        <v>0</v>
      </c>
      <c r="CH21" s="2">
        <v>0</v>
      </c>
      <c r="CI21" s="2">
        <v>0</v>
      </c>
      <c r="CJ21" s="2">
        <v>0</v>
      </c>
      <c r="CK21" s="2">
        <v>0</v>
      </c>
      <c r="CL21" s="2">
        <v>0</v>
      </c>
      <c r="CM21" s="2">
        <v>0</v>
      </c>
      <c r="CN21" s="2">
        <v>0</v>
      </c>
      <c r="CP21" s="2"/>
      <c r="CR21" s="124">
        <v>44544</v>
      </c>
      <c r="CS21" s="2">
        <v>72</v>
      </c>
    </row>
    <row r="22" spans="2:97" x14ac:dyDescent="0.35">
      <c r="AC22" s="19" t="s">
        <v>77</v>
      </c>
      <c r="AD22" s="2">
        <v>0</v>
      </c>
      <c r="AE22" s="2">
        <v>0</v>
      </c>
      <c r="AF22" s="2">
        <v>18</v>
      </c>
      <c r="AG22" s="2">
        <v>0</v>
      </c>
      <c r="AH22" s="2">
        <v>0</v>
      </c>
      <c r="AI22" s="2">
        <v>0</v>
      </c>
      <c r="AJ22" s="2">
        <v>0</v>
      </c>
      <c r="AK22" s="2">
        <v>0</v>
      </c>
      <c r="AL22" s="2">
        <v>0</v>
      </c>
      <c r="AM22" s="2">
        <v>0</v>
      </c>
      <c r="AN22" s="2">
        <v>0</v>
      </c>
      <c r="AO22" s="2">
        <v>0</v>
      </c>
      <c r="AP22" s="2">
        <v>0</v>
      </c>
      <c r="AS22" s="124">
        <v>44545</v>
      </c>
      <c r="AT22" s="2">
        <v>335</v>
      </c>
      <c r="BZ22" s="2"/>
      <c r="CA22" s="19" t="s">
        <v>77</v>
      </c>
      <c r="CB22" s="2">
        <v>0</v>
      </c>
      <c r="CC22" s="2">
        <v>0</v>
      </c>
      <c r="CD22" s="2">
        <v>11</v>
      </c>
      <c r="CE22" s="2">
        <v>0</v>
      </c>
      <c r="CF22" s="2">
        <v>0</v>
      </c>
      <c r="CG22" s="2">
        <v>0</v>
      </c>
      <c r="CH22" s="2">
        <v>0</v>
      </c>
      <c r="CI22" s="2">
        <v>0</v>
      </c>
      <c r="CJ22" s="2">
        <v>0</v>
      </c>
      <c r="CK22" s="2">
        <v>0</v>
      </c>
      <c r="CL22" s="2">
        <v>0</v>
      </c>
      <c r="CM22" s="2">
        <v>0</v>
      </c>
      <c r="CN22" s="2">
        <v>0</v>
      </c>
      <c r="CP22" s="2"/>
      <c r="CR22" s="124">
        <v>44545</v>
      </c>
      <c r="CS22" s="2">
        <v>91</v>
      </c>
    </row>
    <row r="23" spans="2:97" x14ac:dyDescent="0.35">
      <c r="AC23" s="19" t="s">
        <v>78</v>
      </c>
      <c r="AD23" s="2">
        <v>0</v>
      </c>
      <c r="AE23" s="2">
        <v>0</v>
      </c>
      <c r="AF23" s="2">
        <v>0</v>
      </c>
      <c r="AG23" s="2">
        <v>0</v>
      </c>
      <c r="AH23" s="2">
        <v>0</v>
      </c>
      <c r="AI23" s="2">
        <v>0</v>
      </c>
      <c r="AJ23" s="2">
        <v>0</v>
      </c>
      <c r="AK23" s="2">
        <v>0</v>
      </c>
      <c r="AL23" s="2">
        <v>0</v>
      </c>
      <c r="AM23" s="2">
        <v>0</v>
      </c>
      <c r="AN23" s="2">
        <v>0</v>
      </c>
      <c r="AO23" s="2">
        <v>0</v>
      </c>
      <c r="AP23" s="2">
        <v>0</v>
      </c>
      <c r="AS23" s="124">
        <v>44546</v>
      </c>
      <c r="AT23" s="2">
        <v>333</v>
      </c>
      <c r="BZ23" s="2"/>
      <c r="CA23" s="19" t="s">
        <v>78</v>
      </c>
      <c r="CB23" s="2">
        <v>0</v>
      </c>
      <c r="CC23" s="2">
        <v>0</v>
      </c>
      <c r="CD23" s="2">
        <v>0</v>
      </c>
      <c r="CE23" s="2">
        <v>0</v>
      </c>
      <c r="CF23" s="2">
        <v>0</v>
      </c>
      <c r="CG23" s="2">
        <v>0</v>
      </c>
      <c r="CH23" s="2">
        <v>0</v>
      </c>
      <c r="CI23" s="2">
        <v>0</v>
      </c>
      <c r="CJ23" s="2">
        <v>0</v>
      </c>
      <c r="CK23" s="2">
        <v>0</v>
      </c>
      <c r="CL23" s="2">
        <v>0</v>
      </c>
      <c r="CM23" s="2">
        <v>0</v>
      </c>
      <c r="CN23" s="2">
        <v>0</v>
      </c>
      <c r="CP23" s="2"/>
      <c r="CR23" s="124">
        <v>44546</v>
      </c>
      <c r="CS23" s="2">
        <v>96</v>
      </c>
    </row>
    <row r="24" spans="2:97" x14ac:dyDescent="0.35">
      <c r="AC24" s="19" t="s">
        <v>79</v>
      </c>
      <c r="AD24" s="2">
        <v>0</v>
      </c>
      <c r="AE24" s="2">
        <v>0</v>
      </c>
      <c r="AF24" s="2">
        <v>0</v>
      </c>
      <c r="AG24" s="2">
        <v>0</v>
      </c>
      <c r="AH24" s="2">
        <v>0</v>
      </c>
      <c r="AI24" s="2">
        <v>0</v>
      </c>
      <c r="AJ24" s="2">
        <v>0</v>
      </c>
      <c r="AK24" s="2">
        <v>0</v>
      </c>
      <c r="AL24" s="2">
        <v>0</v>
      </c>
      <c r="AM24" s="2">
        <v>0</v>
      </c>
      <c r="AN24" s="2">
        <v>0</v>
      </c>
      <c r="AO24" s="2">
        <v>0</v>
      </c>
      <c r="AP24" s="2">
        <v>0</v>
      </c>
      <c r="AS24" s="124">
        <v>44547</v>
      </c>
      <c r="AT24" s="2">
        <v>328</v>
      </c>
      <c r="BZ24" s="2"/>
      <c r="CA24" s="19" t="s">
        <v>79</v>
      </c>
      <c r="CB24" s="2">
        <v>0</v>
      </c>
      <c r="CC24" s="2">
        <v>0</v>
      </c>
      <c r="CD24" s="2">
        <v>0</v>
      </c>
      <c r="CE24" s="2">
        <v>0</v>
      </c>
      <c r="CF24" s="2">
        <v>0</v>
      </c>
      <c r="CG24" s="2">
        <v>0</v>
      </c>
      <c r="CH24" s="2">
        <v>0</v>
      </c>
      <c r="CI24" s="2">
        <v>0</v>
      </c>
      <c r="CJ24" s="2">
        <v>0</v>
      </c>
      <c r="CK24" s="2">
        <v>0</v>
      </c>
      <c r="CL24" s="2">
        <v>0</v>
      </c>
      <c r="CM24" s="2">
        <v>0</v>
      </c>
      <c r="CN24" s="2">
        <v>0</v>
      </c>
      <c r="CP24" s="2"/>
      <c r="CR24" s="124">
        <v>44547</v>
      </c>
      <c r="CS24" s="2">
        <v>106</v>
      </c>
    </row>
    <row r="25" spans="2:97" x14ac:dyDescent="0.35">
      <c r="AC25" s="19" t="s">
        <v>80</v>
      </c>
      <c r="AD25" s="2">
        <v>0</v>
      </c>
      <c r="AE25" s="2">
        <v>0</v>
      </c>
      <c r="AF25" s="2">
        <v>0</v>
      </c>
      <c r="AG25" s="2">
        <v>0</v>
      </c>
      <c r="AH25" s="2">
        <v>0</v>
      </c>
      <c r="AI25" s="2">
        <v>0</v>
      </c>
      <c r="AJ25" s="2">
        <v>0</v>
      </c>
      <c r="AK25" s="2">
        <v>0</v>
      </c>
      <c r="AL25" s="2">
        <v>0</v>
      </c>
      <c r="AM25" s="2">
        <v>0</v>
      </c>
      <c r="AN25" s="2">
        <v>0</v>
      </c>
      <c r="AO25" s="2">
        <v>0</v>
      </c>
      <c r="AP25" s="2">
        <v>0</v>
      </c>
      <c r="AS25" s="124">
        <v>44548</v>
      </c>
      <c r="AT25" s="2">
        <v>320</v>
      </c>
      <c r="BZ25" s="2"/>
      <c r="CA25" s="19" t="s">
        <v>80</v>
      </c>
      <c r="CB25" s="2">
        <v>0</v>
      </c>
      <c r="CC25" s="2">
        <v>0</v>
      </c>
      <c r="CD25" s="2">
        <v>0</v>
      </c>
      <c r="CE25" s="2">
        <v>0</v>
      </c>
      <c r="CF25" s="2">
        <v>0</v>
      </c>
      <c r="CG25" s="2">
        <v>0</v>
      </c>
      <c r="CH25" s="2">
        <v>0</v>
      </c>
      <c r="CI25" s="2">
        <v>0</v>
      </c>
      <c r="CJ25" s="2">
        <v>0</v>
      </c>
      <c r="CK25" s="2">
        <v>0</v>
      </c>
      <c r="CL25" s="2">
        <v>0</v>
      </c>
      <c r="CM25" s="2">
        <v>0</v>
      </c>
      <c r="CN25" s="2">
        <v>0</v>
      </c>
      <c r="CP25" s="2"/>
      <c r="CR25" s="124">
        <v>44548</v>
      </c>
      <c r="CS25" s="2">
        <v>116</v>
      </c>
    </row>
    <row r="26" spans="2:97" x14ac:dyDescent="0.35">
      <c r="AC26" s="19" t="s">
        <v>81</v>
      </c>
      <c r="AD26" s="2">
        <v>0</v>
      </c>
      <c r="AE26" s="2">
        <v>0</v>
      </c>
      <c r="AF26" s="2">
        <v>0</v>
      </c>
      <c r="AG26" s="2">
        <v>0</v>
      </c>
      <c r="AH26" s="2">
        <v>0</v>
      </c>
      <c r="AI26" s="2">
        <v>0</v>
      </c>
      <c r="AJ26" s="2">
        <v>0</v>
      </c>
      <c r="AK26" s="2">
        <v>0</v>
      </c>
      <c r="AL26" s="2">
        <v>0</v>
      </c>
      <c r="AM26" s="2">
        <v>0</v>
      </c>
      <c r="AN26" s="2">
        <v>0</v>
      </c>
      <c r="AO26" s="2">
        <v>0</v>
      </c>
      <c r="AP26" s="2">
        <v>0</v>
      </c>
      <c r="AS26" s="124">
        <v>44549</v>
      </c>
      <c r="AT26" s="2">
        <v>320</v>
      </c>
      <c r="BZ26" s="2"/>
      <c r="CA26" s="19" t="s">
        <v>81</v>
      </c>
      <c r="CB26" s="2">
        <v>0</v>
      </c>
      <c r="CC26" s="2">
        <v>0</v>
      </c>
      <c r="CD26" s="2">
        <v>0</v>
      </c>
      <c r="CE26" s="2">
        <v>0</v>
      </c>
      <c r="CF26" s="2">
        <v>0</v>
      </c>
      <c r="CG26" s="2">
        <v>0</v>
      </c>
      <c r="CH26" s="2">
        <v>0</v>
      </c>
      <c r="CI26" s="2">
        <v>0</v>
      </c>
      <c r="CJ26" s="2">
        <v>0</v>
      </c>
      <c r="CK26" s="2">
        <v>0</v>
      </c>
      <c r="CL26" s="2">
        <v>0</v>
      </c>
      <c r="CM26" s="2">
        <v>0</v>
      </c>
      <c r="CN26" s="2">
        <v>0</v>
      </c>
      <c r="CP26" s="2"/>
      <c r="CR26" s="124">
        <v>44549</v>
      </c>
      <c r="CS26" s="2">
        <v>103</v>
      </c>
    </row>
    <row r="27" spans="2:97" x14ac:dyDescent="0.35">
      <c r="AC27" s="19" t="s">
        <v>82</v>
      </c>
      <c r="AD27" s="2">
        <v>0</v>
      </c>
      <c r="AE27" s="2">
        <v>0</v>
      </c>
      <c r="AF27" s="2">
        <v>0</v>
      </c>
      <c r="AG27" s="2">
        <v>0</v>
      </c>
      <c r="AH27" s="2">
        <v>0</v>
      </c>
      <c r="AI27" s="2">
        <v>0</v>
      </c>
      <c r="AJ27" s="2">
        <v>0</v>
      </c>
      <c r="AK27" s="2">
        <v>0</v>
      </c>
      <c r="AL27" s="2">
        <v>0</v>
      </c>
      <c r="AM27" s="2">
        <v>0</v>
      </c>
      <c r="AN27" s="2">
        <v>0</v>
      </c>
      <c r="AO27" s="2">
        <v>0</v>
      </c>
      <c r="AP27" s="2">
        <v>0</v>
      </c>
      <c r="AS27" s="124">
        <v>44550</v>
      </c>
      <c r="AT27" s="2">
        <v>304</v>
      </c>
      <c r="BZ27" s="2"/>
      <c r="CA27" s="19" t="s">
        <v>82</v>
      </c>
      <c r="CB27" s="2">
        <v>0</v>
      </c>
      <c r="CC27" s="2">
        <v>0</v>
      </c>
      <c r="CD27" s="2">
        <v>0</v>
      </c>
      <c r="CE27" s="2">
        <v>0</v>
      </c>
      <c r="CF27" s="2">
        <v>0</v>
      </c>
      <c r="CG27" s="2">
        <v>0</v>
      </c>
      <c r="CH27" s="2">
        <v>0</v>
      </c>
      <c r="CI27" s="2">
        <v>0</v>
      </c>
      <c r="CJ27" s="2">
        <v>0</v>
      </c>
      <c r="CK27" s="2">
        <v>0</v>
      </c>
      <c r="CL27" s="2">
        <v>0</v>
      </c>
      <c r="CM27" s="2">
        <v>0</v>
      </c>
      <c r="CN27" s="2">
        <v>0</v>
      </c>
      <c r="CP27" s="2"/>
      <c r="CR27" s="124">
        <v>44550</v>
      </c>
      <c r="CS27" s="2">
        <v>86</v>
      </c>
    </row>
    <row r="28" spans="2:97" x14ac:dyDescent="0.35">
      <c r="AC28" s="19" t="s">
        <v>83</v>
      </c>
      <c r="AD28" s="2">
        <v>0</v>
      </c>
      <c r="AE28" s="2">
        <v>0</v>
      </c>
      <c r="AF28" s="2">
        <v>0</v>
      </c>
      <c r="AG28" s="2">
        <v>0</v>
      </c>
      <c r="AH28" s="2">
        <v>0</v>
      </c>
      <c r="AI28" s="2">
        <v>0</v>
      </c>
      <c r="AJ28" s="2">
        <v>0</v>
      </c>
      <c r="AK28" s="2">
        <v>0</v>
      </c>
      <c r="AL28" s="2">
        <v>0</v>
      </c>
      <c r="AM28" s="2">
        <v>0</v>
      </c>
      <c r="AN28" s="2">
        <v>0</v>
      </c>
      <c r="AO28" s="2">
        <v>0</v>
      </c>
      <c r="AP28" s="2">
        <v>0</v>
      </c>
      <c r="AS28" s="124">
        <v>44551</v>
      </c>
      <c r="AT28" s="2">
        <v>280</v>
      </c>
      <c r="BZ28" s="2"/>
      <c r="CA28" s="19" t="s">
        <v>83</v>
      </c>
      <c r="CB28" s="2">
        <v>0</v>
      </c>
      <c r="CC28" s="2">
        <v>0</v>
      </c>
      <c r="CD28" s="2">
        <v>0</v>
      </c>
      <c r="CE28" s="2">
        <v>0</v>
      </c>
      <c r="CF28" s="2">
        <v>0</v>
      </c>
      <c r="CG28" s="2">
        <v>0</v>
      </c>
      <c r="CH28" s="2">
        <v>0</v>
      </c>
      <c r="CI28" s="2">
        <v>0</v>
      </c>
      <c r="CJ28" s="2">
        <v>0</v>
      </c>
      <c r="CK28" s="2">
        <v>0</v>
      </c>
      <c r="CL28" s="2">
        <v>0</v>
      </c>
      <c r="CM28" s="2">
        <v>0</v>
      </c>
      <c r="CN28" s="2">
        <v>0</v>
      </c>
      <c r="CP28" s="2"/>
      <c r="CR28" s="124">
        <v>44551</v>
      </c>
      <c r="CS28" s="2">
        <v>88</v>
      </c>
    </row>
    <row r="29" spans="2:97" x14ac:dyDescent="0.35">
      <c r="AC29" s="19" t="s">
        <v>84</v>
      </c>
      <c r="AD29" s="2">
        <v>0</v>
      </c>
      <c r="AE29" s="2">
        <v>4</v>
      </c>
      <c r="AF29" s="2">
        <v>8</v>
      </c>
      <c r="AG29" s="2">
        <v>0</v>
      </c>
      <c r="AH29" s="2">
        <v>0</v>
      </c>
      <c r="AI29" s="2">
        <v>12</v>
      </c>
      <c r="AJ29" s="2">
        <v>0</v>
      </c>
      <c r="AK29" s="2">
        <v>0</v>
      </c>
      <c r="AL29" s="2">
        <v>0</v>
      </c>
      <c r="AM29" s="2">
        <v>0</v>
      </c>
      <c r="AN29" s="2">
        <v>0</v>
      </c>
      <c r="AO29" s="2">
        <v>0</v>
      </c>
      <c r="AP29" s="2">
        <v>0</v>
      </c>
      <c r="AS29" s="124">
        <v>44552</v>
      </c>
      <c r="AT29" s="2">
        <v>289</v>
      </c>
      <c r="BZ29" s="2"/>
      <c r="CA29" s="19" t="s">
        <v>84</v>
      </c>
      <c r="CB29" s="2">
        <v>0</v>
      </c>
      <c r="CC29" s="2">
        <v>0</v>
      </c>
      <c r="CD29" s="2">
        <v>1</v>
      </c>
      <c r="CE29" s="2">
        <v>0</v>
      </c>
      <c r="CF29" s="2">
        <v>0</v>
      </c>
      <c r="CG29" s="2">
        <v>0</v>
      </c>
      <c r="CH29" s="2">
        <v>0</v>
      </c>
      <c r="CI29" s="2">
        <v>0</v>
      </c>
      <c r="CJ29" s="2">
        <v>0</v>
      </c>
      <c r="CK29" s="2">
        <v>0</v>
      </c>
      <c r="CL29" s="2">
        <v>0</v>
      </c>
      <c r="CM29" s="2">
        <v>0</v>
      </c>
      <c r="CN29" s="2">
        <v>0</v>
      </c>
      <c r="CP29" s="2"/>
      <c r="CR29" s="124">
        <v>44552</v>
      </c>
      <c r="CS29" s="2">
        <v>74</v>
      </c>
    </row>
    <row r="30" spans="2:97" x14ac:dyDescent="0.35">
      <c r="AC30" s="19" t="s">
        <v>85</v>
      </c>
      <c r="AD30" s="2">
        <v>0</v>
      </c>
      <c r="AE30" s="2">
        <v>0</v>
      </c>
      <c r="AF30" s="2">
        <v>18</v>
      </c>
      <c r="AG30" s="2">
        <v>6</v>
      </c>
      <c r="AH30" s="2">
        <v>0</v>
      </c>
      <c r="AI30" s="2">
        <v>0</v>
      </c>
      <c r="AJ30" s="2">
        <v>0</v>
      </c>
      <c r="AK30" s="2">
        <v>0</v>
      </c>
      <c r="AL30" s="2">
        <v>0</v>
      </c>
      <c r="AM30" s="2">
        <v>0</v>
      </c>
      <c r="AN30" s="2">
        <v>0</v>
      </c>
      <c r="AO30" s="2">
        <v>0</v>
      </c>
      <c r="AP30" s="2">
        <v>0</v>
      </c>
      <c r="AS30" s="124">
        <v>44553</v>
      </c>
      <c r="AT30" s="2">
        <v>259</v>
      </c>
      <c r="BZ30" s="2"/>
      <c r="CA30" s="19" t="s">
        <v>85</v>
      </c>
      <c r="CB30" s="2">
        <v>0</v>
      </c>
      <c r="CC30" s="2">
        <v>0</v>
      </c>
      <c r="CD30" s="2">
        <v>5</v>
      </c>
      <c r="CE30" s="2">
        <v>2</v>
      </c>
      <c r="CF30" s="2">
        <v>0</v>
      </c>
      <c r="CG30" s="2">
        <v>0</v>
      </c>
      <c r="CH30" s="2">
        <v>0</v>
      </c>
      <c r="CI30" s="2">
        <v>0</v>
      </c>
      <c r="CJ30" s="2">
        <v>0</v>
      </c>
      <c r="CK30" s="2">
        <v>0</v>
      </c>
      <c r="CL30" s="2">
        <v>0</v>
      </c>
      <c r="CM30" s="2">
        <v>0</v>
      </c>
      <c r="CN30" s="2">
        <v>0</v>
      </c>
      <c r="CP30" s="2"/>
      <c r="CR30" s="124">
        <v>44553</v>
      </c>
      <c r="CS30" s="2">
        <v>68</v>
      </c>
    </row>
    <row r="31" spans="2:97" x14ac:dyDescent="0.35">
      <c r="AC31" s="19" t="s">
        <v>86</v>
      </c>
      <c r="AD31" s="2">
        <v>18</v>
      </c>
      <c r="AE31" s="2">
        <v>9</v>
      </c>
      <c r="AF31" s="2">
        <v>10</v>
      </c>
      <c r="AG31" s="2">
        <v>3</v>
      </c>
      <c r="AH31" s="2">
        <v>0</v>
      </c>
      <c r="AI31" s="2">
        <v>0</v>
      </c>
      <c r="AJ31" s="2">
        <v>0</v>
      </c>
      <c r="AK31" s="2">
        <v>77</v>
      </c>
      <c r="AL31" s="2">
        <v>171</v>
      </c>
      <c r="AM31" s="2">
        <v>114</v>
      </c>
      <c r="AN31" s="2">
        <v>0</v>
      </c>
      <c r="AO31" s="2">
        <v>0</v>
      </c>
      <c r="AP31" s="2">
        <v>0</v>
      </c>
      <c r="AS31" s="124">
        <v>44554</v>
      </c>
      <c r="AT31" s="2">
        <v>289</v>
      </c>
      <c r="BZ31" s="2"/>
      <c r="CA31" s="19" t="s">
        <v>86</v>
      </c>
      <c r="CB31" s="2">
        <v>0</v>
      </c>
      <c r="CC31" s="2">
        <v>0</v>
      </c>
      <c r="CD31" s="2">
        <v>0</v>
      </c>
      <c r="CE31" s="2">
        <v>0</v>
      </c>
      <c r="CF31" s="2">
        <v>0</v>
      </c>
      <c r="CG31" s="2">
        <v>0</v>
      </c>
      <c r="CH31" s="2">
        <v>0</v>
      </c>
      <c r="CI31" s="2">
        <v>17</v>
      </c>
      <c r="CJ31" s="2">
        <v>41</v>
      </c>
      <c r="CK31" s="2">
        <v>56</v>
      </c>
      <c r="CL31" s="2">
        <v>0</v>
      </c>
      <c r="CM31" s="2">
        <v>0</v>
      </c>
      <c r="CN31" s="2">
        <v>0</v>
      </c>
      <c r="CP31" s="2"/>
      <c r="CR31" s="124">
        <v>44554</v>
      </c>
      <c r="CS31" s="2">
        <v>79</v>
      </c>
    </row>
    <row r="32" spans="2:97" x14ac:dyDescent="0.35">
      <c r="AC32" s="19" t="s">
        <v>87</v>
      </c>
      <c r="AD32" s="2">
        <v>0</v>
      </c>
      <c r="AE32" s="2">
        <v>0</v>
      </c>
      <c r="AF32" s="2">
        <v>0</v>
      </c>
      <c r="AG32" s="2">
        <v>0</v>
      </c>
      <c r="AH32" s="2">
        <v>3</v>
      </c>
      <c r="AI32" s="2">
        <v>0</v>
      </c>
      <c r="AJ32" s="2">
        <v>0</v>
      </c>
      <c r="AK32" s="2">
        <v>0</v>
      </c>
      <c r="AL32" s="2">
        <v>0</v>
      </c>
      <c r="AM32" s="2">
        <v>0</v>
      </c>
      <c r="AN32" s="2">
        <v>0</v>
      </c>
      <c r="AO32" s="2">
        <v>0</v>
      </c>
      <c r="AP32" s="2">
        <v>0</v>
      </c>
      <c r="AS32" s="124">
        <v>44555</v>
      </c>
      <c r="AT32" s="2">
        <v>243</v>
      </c>
      <c r="BZ32" s="2"/>
      <c r="CA32" s="19" t="s">
        <v>87</v>
      </c>
      <c r="CB32" s="2">
        <v>0</v>
      </c>
      <c r="CC32" s="2">
        <v>0</v>
      </c>
      <c r="CD32" s="2">
        <v>0</v>
      </c>
      <c r="CE32" s="2">
        <v>0</v>
      </c>
      <c r="CF32" s="2">
        <v>2</v>
      </c>
      <c r="CG32" s="2">
        <v>0</v>
      </c>
      <c r="CH32" s="2">
        <v>0</v>
      </c>
      <c r="CI32" s="2">
        <v>0</v>
      </c>
      <c r="CJ32" s="2">
        <v>0</v>
      </c>
      <c r="CK32" s="2">
        <v>0</v>
      </c>
      <c r="CL32" s="2">
        <v>0</v>
      </c>
      <c r="CM32" s="2">
        <v>0</v>
      </c>
      <c r="CN32" s="2">
        <v>0</v>
      </c>
      <c r="CP32" s="2"/>
      <c r="CR32" s="124">
        <v>44555</v>
      </c>
      <c r="CS32" s="2">
        <v>57</v>
      </c>
    </row>
    <row r="33" spans="29:97" x14ac:dyDescent="0.35">
      <c r="AC33" s="19" t="s">
        <v>254</v>
      </c>
      <c r="AD33" s="2">
        <v>0</v>
      </c>
      <c r="AE33" s="2">
        <v>4</v>
      </c>
      <c r="AF33" s="2">
        <v>81</v>
      </c>
      <c r="AG33" s="2">
        <v>6</v>
      </c>
      <c r="AH33" s="2">
        <v>24</v>
      </c>
      <c r="AI33" s="2">
        <v>12</v>
      </c>
      <c r="AJ33" s="2">
        <v>0</v>
      </c>
      <c r="AK33" s="2">
        <v>0</v>
      </c>
      <c r="AL33" s="2">
        <v>0</v>
      </c>
      <c r="AM33" s="2">
        <v>0</v>
      </c>
      <c r="AN33" s="2">
        <v>3</v>
      </c>
      <c r="AO33" s="2">
        <v>1</v>
      </c>
      <c r="AP33" s="2">
        <v>0</v>
      </c>
      <c r="AS33" s="124">
        <v>44556</v>
      </c>
      <c r="AT33" s="2">
        <v>247</v>
      </c>
      <c r="BZ33" s="2"/>
      <c r="CA33" s="19" t="s">
        <v>254</v>
      </c>
      <c r="CB33" s="2">
        <v>0</v>
      </c>
      <c r="CC33" s="2">
        <v>0</v>
      </c>
      <c r="CD33" s="2">
        <v>32</v>
      </c>
      <c r="CE33" s="2">
        <v>4</v>
      </c>
      <c r="CF33" s="2">
        <v>0</v>
      </c>
      <c r="CG33" s="2">
        <v>0</v>
      </c>
      <c r="CH33" s="2">
        <v>0</v>
      </c>
      <c r="CI33" s="2">
        <v>0</v>
      </c>
      <c r="CJ33" s="2">
        <v>0</v>
      </c>
      <c r="CK33" s="2">
        <v>0</v>
      </c>
      <c r="CL33" s="2">
        <v>0</v>
      </c>
      <c r="CM33" s="2">
        <v>0</v>
      </c>
      <c r="CN33" s="2">
        <v>0</v>
      </c>
      <c r="CP33" s="2"/>
      <c r="CR33" s="124">
        <v>44556</v>
      </c>
      <c r="CS33" s="2">
        <v>68</v>
      </c>
    </row>
    <row r="34" spans="29:97" x14ac:dyDescent="0.35">
      <c r="AC34" s="19" t="s">
        <v>88</v>
      </c>
      <c r="AD34" s="2">
        <v>0</v>
      </c>
      <c r="AE34" s="2">
        <v>0</v>
      </c>
      <c r="AF34" s="2">
        <v>0</v>
      </c>
      <c r="AG34" s="2">
        <v>0</v>
      </c>
      <c r="AH34" s="2">
        <v>6</v>
      </c>
      <c r="AI34" s="2">
        <v>12</v>
      </c>
      <c r="AJ34" s="2">
        <v>60</v>
      </c>
      <c r="AK34" s="2">
        <v>18</v>
      </c>
      <c r="AL34" s="2">
        <v>0</v>
      </c>
      <c r="AM34" s="2">
        <v>0</v>
      </c>
      <c r="AN34" s="2">
        <v>6</v>
      </c>
      <c r="AO34" s="2">
        <v>0</v>
      </c>
      <c r="AP34" s="2">
        <v>0</v>
      </c>
      <c r="AS34" s="124">
        <v>44557</v>
      </c>
      <c r="AT34" s="2">
        <v>274</v>
      </c>
      <c r="BZ34" s="2"/>
      <c r="CA34" s="19" t="s">
        <v>88</v>
      </c>
      <c r="CB34" s="2">
        <v>0</v>
      </c>
      <c r="CC34" s="2">
        <v>0</v>
      </c>
      <c r="CD34" s="2">
        <v>0</v>
      </c>
      <c r="CE34" s="2">
        <v>0</v>
      </c>
      <c r="CF34" s="2">
        <v>0</v>
      </c>
      <c r="CG34" s="2">
        <v>2</v>
      </c>
      <c r="CH34" s="2">
        <v>3</v>
      </c>
      <c r="CI34" s="2">
        <v>0</v>
      </c>
      <c r="CJ34" s="2">
        <v>0</v>
      </c>
      <c r="CK34" s="2">
        <v>0</v>
      </c>
      <c r="CL34" s="2">
        <v>1</v>
      </c>
      <c r="CM34" s="2">
        <v>0</v>
      </c>
      <c r="CN34" s="2">
        <v>0</v>
      </c>
      <c r="CP34" s="2"/>
      <c r="CR34" s="124">
        <v>44557</v>
      </c>
      <c r="CS34" s="2">
        <v>71</v>
      </c>
    </row>
    <row r="35" spans="29:97" x14ac:dyDescent="0.35">
      <c r="AC35" s="19" t="s">
        <v>89</v>
      </c>
      <c r="AD35" s="2">
        <v>0</v>
      </c>
      <c r="AE35" s="2">
        <v>0</v>
      </c>
      <c r="AF35" s="2">
        <v>0</v>
      </c>
      <c r="AG35" s="2">
        <v>0</v>
      </c>
      <c r="AH35" s="2">
        <v>0</v>
      </c>
      <c r="AI35" s="2">
        <v>0</v>
      </c>
      <c r="AJ35" s="2">
        <v>0</v>
      </c>
      <c r="AK35" s="2">
        <v>0</v>
      </c>
      <c r="AL35" s="2">
        <v>0</v>
      </c>
      <c r="AM35" s="2">
        <v>0</v>
      </c>
      <c r="AN35" s="2">
        <v>0</v>
      </c>
      <c r="AO35" s="2">
        <v>0</v>
      </c>
      <c r="AP35" s="2">
        <v>0</v>
      </c>
      <c r="AS35" s="124">
        <v>44558</v>
      </c>
      <c r="AT35" s="2">
        <v>313</v>
      </c>
      <c r="BZ35" s="2"/>
      <c r="CA35" s="19" t="s">
        <v>89</v>
      </c>
      <c r="CB35" s="2">
        <v>0</v>
      </c>
      <c r="CC35" s="2">
        <v>0</v>
      </c>
      <c r="CD35" s="2">
        <v>0</v>
      </c>
      <c r="CE35" s="2">
        <v>0</v>
      </c>
      <c r="CF35" s="2">
        <v>0</v>
      </c>
      <c r="CG35" s="2">
        <v>0</v>
      </c>
      <c r="CH35" s="2">
        <v>0</v>
      </c>
      <c r="CI35" s="2">
        <v>0</v>
      </c>
      <c r="CJ35" s="2">
        <v>0</v>
      </c>
      <c r="CK35" s="2">
        <v>0</v>
      </c>
      <c r="CL35" s="2">
        <v>0</v>
      </c>
      <c r="CM35" s="2">
        <v>0</v>
      </c>
      <c r="CN35" s="2">
        <v>0</v>
      </c>
      <c r="CP35" s="2"/>
      <c r="CR35" s="124">
        <v>44558</v>
      </c>
      <c r="CS35" s="2">
        <v>66</v>
      </c>
    </row>
    <row r="36" spans="29:97" x14ac:dyDescent="0.35">
      <c r="AC36" s="19" t="s">
        <v>90</v>
      </c>
      <c r="AD36" s="2">
        <v>0</v>
      </c>
      <c r="AE36" s="2">
        <v>0</v>
      </c>
      <c r="AF36" s="2">
        <v>0</v>
      </c>
      <c r="AG36" s="2">
        <v>0</v>
      </c>
      <c r="AH36" s="2">
        <v>0</v>
      </c>
      <c r="AI36" s="2">
        <v>0</v>
      </c>
      <c r="AJ36" s="2">
        <v>0</v>
      </c>
      <c r="AK36" s="2">
        <v>0</v>
      </c>
      <c r="AL36" s="2">
        <v>0</v>
      </c>
      <c r="AM36" s="2">
        <v>0</v>
      </c>
      <c r="AN36" s="2">
        <v>0</v>
      </c>
      <c r="AO36" s="2">
        <v>0</v>
      </c>
      <c r="AP36" s="2">
        <v>0</v>
      </c>
      <c r="AS36" s="124">
        <v>44559</v>
      </c>
      <c r="AT36" s="2">
        <v>303</v>
      </c>
      <c r="BZ36" s="2"/>
      <c r="CA36" s="19" t="s">
        <v>90</v>
      </c>
      <c r="CB36" s="2">
        <v>0</v>
      </c>
      <c r="CC36" s="2">
        <v>0</v>
      </c>
      <c r="CD36" s="2">
        <v>0</v>
      </c>
      <c r="CE36" s="2">
        <v>0</v>
      </c>
      <c r="CF36" s="2">
        <v>0</v>
      </c>
      <c r="CG36" s="2">
        <v>0</v>
      </c>
      <c r="CH36" s="2">
        <v>0</v>
      </c>
      <c r="CI36" s="2">
        <v>0</v>
      </c>
      <c r="CJ36" s="2">
        <v>0</v>
      </c>
      <c r="CK36" s="2">
        <v>0</v>
      </c>
      <c r="CL36" s="2">
        <v>0</v>
      </c>
      <c r="CM36" s="2">
        <v>0</v>
      </c>
      <c r="CN36" s="2">
        <v>0</v>
      </c>
      <c r="CP36" s="2"/>
      <c r="CR36" s="124">
        <v>44559</v>
      </c>
      <c r="CS36" s="2">
        <v>69</v>
      </c>
    </row>
    <row r="37" spans="29:97" x14ac:dyDescent="0.35">
      <c r="AC37" s="19" t="s">
        <v>91</v>
      </c>
      <c r="AD37" s="2">
        <v>0</v>
      </c>
      <c r="AE37" s="2">
        <v>0</v>
      </c>
      <c r="AF37" s="2">
        <v>0</v>
      </c>
      <c r="AG37" s="2">
        <v>0</v>
      </c>
      <c r="AH37" s="2">
        <v>0</v>
      </c>
      <c r="AI37" s="2">
        <v>0</v>
      </c>
      <c r="AJ37" s="2">
        <v>0</v>
      </c>
      <c r="AK37" s="2">
        <v>0</v>
      </c>
      <c r="AL37" s="2">
        <v>0</v>
      </c>
      <c r="AM37" s="2">
        <v>0</v>
      </c>
      <c r="AN37" s="2">
        <v>0</v>
      </c>
      <c r="AO37" s="2">
        <v>0</v>
      </c>
      <c r="AP37" s="2">
        <v>0</v>
      </c>
      <c r="AS37" s="124">
        <v>44560</v>
      </c>
      <c r="AT37" s="2">
        <v>254</v>
      </c>
      <c r="BZ37" s="2"/>
      <c r="CA37" s="19" t="s">
        <v>91</v>
      </c>
      <c r="CB37" s="2">
        <v>0</v>
      </c>
      <c r="CC37" s="2">
        <v>0</v>
      </c>
      <c r="CD37" s="2">
        <v>0</v>
      </c>
      <c r="CE37" s="2">
        <v>0</v>
      </c>
      <c r="CF37" s="2">
        <v>0</v>
      </c>
      <c r="CG37" s="2">
        <v>0</v>
      </c>
      <c r="CH37" s="2">
        <v>0</v>
      </c>
      <c r="CI37" s="2">
        <v>0</v>
      </c>
      <c r="CJ37" s="2">
        <v>0</v>
      </c>
      <c r="CK37" s="2">
        <v>0</v>
      </c>
      <c r="CL37" s="2">
        <v>0</v>
      </c>
      <c r="CM37" s="2">
        <v>0</v>
      </c>
      <c r="CN37" s="2">
        <v>0</v>
      </c>
      <c r="CP37" s="2"/>
      <c r="CR37" s="124">
        <v>44560</v>
      </c>
      <c r="CS37" s="2">
        <v>45</v>
      </c>
    </row>
    <row r="38" spans="29:97" x14ac:dyDescent="0.35">
      <c r="AC38" s="19" t="s">
        <v>92</v>
      </c>
      <c r="AD38" s="2">
        <v>0</v>
      </c>
      <c r="AE38" s="2">
        <v>0</v>
      </c>
      <c r="AF38" s="2">
        <v>6</v>
      </c>
      <c r="AG38" s="2">
        <v>0</v>
      </c>
      <c r="AH38" s="2">
        <v>0</v>
      </c>
      <c r="AI38" s="2">
        <v>0</v>
      </c>
      <c r="AJ38" s="2">
        <v>0</v>
      </c>
      <c r="AK38" s="2">
        <v>0</v>
      </c>
      <c r="AL38" s="2">
        <v>0</v>
      </c>
      <c r="AM38" s="2">
        <v>0</v>
      </c>
      <c r="AN38" s="2">
        <v>0</v>
      </c>
      <c r="AO38" s="2">
        <v>0</v>
      </c>
      <c r="AP38" s="2">
        <v>0</v>
      </c>
      <c r="AS38" s="124">
        <v>44561</v>
      </c>
      <c r="AT38" s="2">
        <v>273</v>
      </c>
      <c r="BZ38" s="2"/>
      <c r="CA38" s="19" t="s">
        <v>92</v>
      </c>
      <c r="CB38" s="2">
        <v>0</v>
      </c>
      <c r="CC38" s="2">
        <v>0</v>
      </c>
      <c r="CD38" s="2">
        <v>6</v>
      </c>
      <c r="CE38" s="2">
        <v>0</v>
      </c>
      <c r="CF38" s="2">
        <v>0</v>
      </c>
      <c r="CG38" s="2">
        <v>0</v>
      </c>
      <c r="CH38" s="2">
        <v>0</v>
      </c>
      <c r="CI38" s="2">
        <v>0</v>
      </c>
      <c r="CJ38" s="2">
        <v>0</v>
      </c>
      <c r="CK38" s="2">
        <v>0</v>
      </c>
      <c r="CL38" s="2">
        <v>0</v>
      </c>
      <c r="CM38" s="2">
        <v>0</v>
      </c>
      <c r="CN38" s="2">
        <v>0</v>
      </c>
      <c r="CP38" s="2"/>
      <c r="CR38" s="124">
        <v>44561</v>
      </c>
      <c r="CS38" s="2">
        <v>53</v>
      </c>
    </row>
    <row r="39" spans="29:97" x14ac:dyDescent="0.35">
      <c r="AC39" s="19" t="s">
        <v>93</v>
      </c>
      <c r="AD39" s="2">
        <v>68</v>
      </c>
      <c r="AE39" s="2">
        <v>50</v>
      </c>
      <c r="AF39" s="2">
        <v>25</v>
      </c>
      <c r="AG39" s="2">
        <v>16</v>
      </c>
      <c r="AH39" s="2">
        <v>13</v>
      </c>
      <c r="AI39" s="2">
        <v>2</v>
      </c>
      <c r="AJ39" s="2">
        <v>0</v>
      </c>
      <c r="AK39" s="2">
        <v>0</v>
      </c>
      <c r="AL39" s="2">
        <v>0</v>
      </c>
      <c r="AM39" s="2">
        <v>0</v>
      </c>
      <c r="AN39" s="2">
        <v>0</v>
      </c>
      <c r="AO39" s="2">
        <v>2</v>
      </c>
      <c r="AP39" s="2">
        <v>7</v>
      </c>
      <c r="AS39" s="124">
        <v>44562</v>
      </c>
      <c r="AT39" s="2">
        <v>321</v>
      </c>
      <c r="BZ39" s="2"/>
      <c r="CA39" s="19" t="s">
        <v>93</v>
      </c>
      <c r="CB39" s="2">
        <v>0</v>
      </c>
      <c r="CC39" s="2">
        <v>0</v>
      </c>
      <c r="CD39" s="2">
        <v>0</v>
      </c>
      <c r="CE39" s="2">
        <v>0</v>
      </c>
      <c r="CF39" s="2">
        <v>0</v>
      </c>
      <c r="CG39" s="2">
        <v>0</v>
      </c>
      <c r="CH39" s="2">
        <v>0</v>
      </c>
      <c r="CI39" s="2">
        <v>0</v>
      </c>
      <c r="CJ39" s="2">
        <v>0</v>
      </c>
      <c r="CK39" s="2">
        <v>0</v>
      </c>
      <c r="CL39" s="2">
        <v>0</v>
      </c>
      <c r="CM39" s="2">
        <v>0</v>
      </c>
      <c r="CN39" s="2">
        <v>0</v>
      </c>
      <c r="CP39" s="2"/>
      <c r="CR39" s="124">
        <v>44562</v>
      </c>
      <c r="CS39" s="2">
        <v>49</v>
      </c>
    </row>
    <row r="40" spans="29:97" x14ac:dyDescent="0.35">
      <c r="AC40" s="19" t="s">
        <v>94</v>
      </c>
      <c r="AD40" s="2">
        <v>207</v>
      </c>
      <c r="AE40" s="2">
        <v>57</v>
      </c>
      <c r="AF40" s="2">
        <v>8</v>
      </c>
      <c r="AG40" s="2">
        <v>1</v>
      </c>
      <c r="AH40" s="2">
        <v>0</v>
      </c>
      <c r="AI40" s="2">
        <v>0</v>
      </c>
      <c r="AJ40" s="2">
        <v>35</v>
      </c>
      <c r="AK40" s="2">
        <v>454</v>
      </c>
      <c r="AL40" s="2">
        <v>220</v>
      </c>
      <c r="AM40" s="2">
        <v>307</v>
      </c>
      <c r="AN40" s="2">
        <v>79</v>
      </c>
      <c r="AO40" s="2">
        <v>0</v>
      </c>
      <c r="AP40" s="2">
        <v>2</v>
      </c>
      <c r="AS40" s="124">
        <v>44563</v>
      </c>
      <c r="AT40" s="2">
        <v>242</v>
      </c>
      <c r="BZ40" s="2"/>
      <c r="CA40" s="19" t="s">
        <v>94</v>
      </c>
      <c r="CB40" s="2">
        <v>13</v>
      </c>
      <c r="CC40" s="2">
        <v>6</v>
      </c>
      <c r="CD40" s="2">
        <v>1</v>
      </c>
      <c r="CE40" s="2">
        <v>0</v>
      </c>
      <c r="CF40" s="2">
        <v>0</v>
      </c>
      <c r="CG40" s="2">
        <v>0</v>
      </c>
      <c r="CH40" s="2">
        <v>0</v>
      </c>
      <c r="CI40" s="2">
        <v>81</v>
      </c>
      <c r="CJ40" s="2">
        <v>58</v>
      </c>
      <c r="CK40" s="2">
        <v>58</v>
      </c>
      <c r="CL40" s="2">
        <v>16</v>
      </c>
      <c r="CM40" s="2">
        <v>0</v>
      </c>
      <c r="CN40" s="2">
        <v>1</v>
      </c>
      <c r="CP40" s="2"/>
      <c r="CR40" s="124">
        <v>44563</v>
      </c>
      <c r="CS40" s="2">
        <v>34</v>
      </c>
    </row>
    <row r="41" spans="29:97" x14ac:dyDescent="0.35">
      <c r="AC41" s="19" t="s">
        <v>95</v>
      </c>
      <c r="AD41" s="2">
        <v>0</v>
      </c>
      <c r="AE41" s="2">
        <v>0</v>
      </c>
      <c r="AF41" s="2">
        <v>0</v>
      </c>
      <c r="AG41" s="2">
        <v>0</v>
      </c>
      <c r="AH41" s="2">
        <v>0</v>
      </c>
      <c r="AI41" s="2">
        <v>0</v>
      </c>
      <c r="AJ41" s="2">
        <v>0</v>
      </c>
      <c r="AK41" s="2">
        <v>0</v>
      </c>
      <c r="AL41" s="2">
        <v>0</v>
      </c>
      <c r="AM41" s="2">
        <v>0</v>
      </c>
      <c r="AN41" s="2">
        <v>0</v>
      </c>
      <c r="AO41" s="2">
        <v>0</v>
      </c>
      <c r="AP41" s="2">
        <v>0</v>
      </c>
      <c r="AS41" s="124">
        <v>44564</v>
      </c>
      <c r="AT41" s="2">
        <v>209</v>
      </c>
      <c r="BZ41" s="2"/>
      <c r="CA41" s="19" t="s">
        <v>95</v>
      </c>
      <c r="CB41" s="2">
        <v>0</v>
      </c>
      <c r="CC41" s="2">
        <v>0</v>
      </c>
      <c r="CD41" s="2">
        <v>0</v>
      </c>
      <c r="CE41" s="2">
        <v>0</v>
      </c>
      <c r="CF41" s="2">
        <v>0</v>
      </c>
      <c r="CG41" s="2">
        <v>0</v>
      </c>
      <c r="CH41" s="2">
        <v>0</v>
      </c>
      <c r="CI41" s="2">
        <v>0</v>
      </c>
      <c r="CJ41" s="2">
        <v>0</v>
      </c>
      <c r="CK41" s="2">
        <v>0</v>
      </c>
      <c r="CL41" s="2">
        <v>0</v>
      </c>
      <c r="CM41" s="2">
        <v>0</v>
      </c>
      <c r="CN41" s="2">
        <v>0</v>
      </c>
      <c r="CP41" s="2"/>
      <c r="CR41" s="124">
        <v>44564</v>
      </c>
      <c r="CS41" s="2">
        <v>33</v>
      </c>
    </row>
    <row r="42" spans="29:97" x14ac:dyDescent="0.35">
      <c r="AC42" s="19" t="s">
        <v>96</v>
      </c>
      <c r="AD42" s="2">
        <v>53</v>
      </c>
      <c r="AE42" s="2">
        <v>11</v>
      </c>
      <c r="AF42" s="2">
        <v>9</v>
      </c>
      <c r="AG42" s="2">
        <v>48</v>
      </c>
      <c r="AH42" s="2">
        <v>78</v>
      </c>
      <c r="AI42" s="2">
        <v>17</v>
      </c>
      <c r="AJ42" s="2">
        <v>16</v>
      </c>
      <c r="AK42" s="2">
        <v>7</v>
      </c>
      <c r="AL42" s="2">
        <v>53</v>
      </c>
      <c r="AM42" s="2">
        <v>43</v>
      </c>
      <c r="AN42" s="2">
        <v>42</v>
      </c>
      <c r="AO42" s="2">
        <v>33</v>
      </c>
      <c r="AP42" s="2">
        <v>30</v>
      </c>
      <c r="AS42" s="124">
        <v>44565</v>
      </c>
      <c r="AT42" s="2">
        <v>257</v>
      </c>
      <c r="BZ42" s="2"/>
      <c r="CA42" s="19" t="s">
        <v>96</v>
      </c>
      <c r="CB42" s="2">
        <v>8</v>
      </c>
      <c r="CC42" s="2">
        <v>3</v>
      </c>
      <c r="CD42" s="2">
        <v>1</v>
      </c>
      <c r="CE42" s="2">
        <v>10</v>
      </c>
      <c r="CF42" s="2">
        <v>16</v>
      </c>
      <c r="CG42" s="2">
        <v>2</v>
      </c>
      <c r="CH42" s="2">
        <v>2</v>
      </c>
      <c r="CI42" s="2">
        <v>1</v>
      </c>
      <c r="CJ42" s="2">
        <v>11</v>
      </c>
      <c r="CK42" s="2">
        <v>3</v>
      </c>
      <c r="CL42" s="2">
        <v>8</v>
      </c>
      <c r="CM42" s="2">
        <v>1</v>
      </c>
      <c r="CN42" s="2">
        <v>3</v>
      </c>
      <c r="CP42" s="2"/>
      <c r="CR42" s="124">
        <v>44565</v>
      </c>
      <c r="CS42" s="2">
        <v>31</v>
      </c>
    </row>
    <row r="43" spans="29:97" x14ac:dyDescent="0.35">
      <c r="AC43" s="19" t="s">
        <v>97</v>
      </c>
      <c r="AD43" s="2">
        <v>2</v>
      </c>
      <c r="AE43" s="2">
        <v>0</v>
      </c>
      <c r="AF43" s="2">
        <v>0</v>
      </c>
      <c r="AG43" s="2">
        <v>3</v>
      </c>
      <c r="AH43" s="2">
        <v>3</v>
      </c>
      <c r="AI43" s="2">
        <v>0</v>
      </c>
      <c r="AJ43" s="2">
        <v>1</v>
      </c>
      <c r="AK43" s="2">
        <v>1</v>
      </c>
      <c r="AL43" s="2">
        <v>0</v>
      </c>
      <c r="AM43" s="2">
        <v>0</v>
      </c>
      <c r="AN43" s="2">
        <v>0</v>
      </c>
      <c r="AO43" s="2">
        <v>1</v>
      </c>
      <c r="AP43" s="2">
        <v>11</v>
      </c>
      <c r="AS43" s="124">
        <v>44566</v>
      </c>
      <c r="AT43" s="2">
        <v>230</v>
      </c>
      <c r="BZ43" s="2"/>
      <c r="CA43" s="19" t="s">
        <v>97</v>
      </c>
      <c r="CB43" s="2">
        <v>2</v>
      </c>
      <c r="CC43" s="2">
        <v>0</v>
      </c>
      <c r="CD43" s="2">
        <v>0</v>
      </c>
      <c r="CE43" s="2">
        <v>3</v>
      </c>
      <c r="CF43" s="2">
        <v>3</v>
      </c>
      <c r="CG43" s="2">
        <v>0</v>
      </c>
      <c r="CH43" s="2">
        <v>1</v>
      </c>
      <c r="CI43" s="2">
        <v>1</v>
      </c>
      <c r="CJ43" s="2">
        <v>0</v>
      </c>
      <c r="CK43" s="2">
        <v>0</v>
      </c>
      <c r="CL43" s="2">
        <v>0</v>
      </c>
      <c r="CM43" s="2">
        <v>1</v>
      </c>
      <c r="CN43" s="2">
        <v>8</v>
      </c>
      <c r="CP43" s="2"/>
      <c r="CR43" s="124">
        <v>44566</v>
      </c>
      <c r="CS43" s="2">
        <v>26</v>
      </c>
    </row>
    <row r="44" spans="29:97" x14ac:dyDescent="0.35">
      <c r="AC44" s="19" t="s">
        <v>98</v>
      </c>
      <c r="AD44" s="2">
        <v>0</v>
      </c>
      <c r="AE44" s="2">
        <v>0</v>
      </c>
      <c r="AF44" s="2">
        <v>0</v>
      </c>
      <c r="AG44" s="2">
        <v>0</v>
      </c>
      <c r="AH44" s="2">
        <v>0</v>
      </c>
      <c r="AI44" s="2">
        <v>0</v>
      </c>
      <c r="AJ44" s="2">
        <v>0</v>
      </c>
      <c r="AK44" s="2">
        <v>0</v>
      </c>
      <c r="AL44" s="2">
        <v>0</v>
      </c>
      <c r="AM44" s="2">
        <v>0</v>
      </c>
      <c r="AN44" s="2">
        <v>0</v>
      </c>
      <c r="AO44" s="2">
        <v>0</v>
      </c>
      <c r="AP44" s="2">
        <v>0</v>
      </c>
      <c r="AS44" s="124">
        <v>44567</v>
      </c>
      <c r="AT44" s="2">
        <v>148</v>
      </c>
      <c r="BZ44" s="2"/>
      <c r="CA44" s="19" t="s">
        <v>98</v>
      </c>
      <c r="CB44" s="2">
        <v>0</v>
      </c>
      <c r="CC44" s="2">
        <v>0</v>
      </c>
      <c r="CD44" s="2">
        <v>0</v>
      </c>
      <c r="CE44" s="2">
        <v>0</v>
      </c>
      <c r="CF44" s="2">
        <v>0</v>
      </c>
      <c r="CG44" s="2">
        <v>0</v>
      </c>
      <c r="CH44" s="2">
        <v>0</v>
      </c>
      <c r="CI44" s="2">
        <v>0</v>
      </c>
      <c r="CJ44" s="2">
        <v>0</v>
      </c>
      <c r="CK44" s="2">
        <v>0</v>
      </c>
      <c r="CL44" s="2">
        <v>0</v>
      </c>
      <c r="CM44" s="2">
        <v>0</v>
      </c>
      <c r="CN44" s="2">
        <v>0</v>
      </c>
      <c r="CP44" s="2"/>
      <c r="CR44" s="124">
        <v>44567</v>
      </c>
      <c r="CS44" s="2">
        <v>22</v>
      </c>
    </row>
    <row r="45" spans="29:97" x14ac:dyDescent="0.35">
      <c r="AC45" s="19" t="s">
        <v>255</v>
      </c>
      <c r="AD45" s="2">
        <v>36</v>
      </c>
      <c r="AE45" s="2">
        <v>4</v>
      </c>
      <c r="AF45" s="2">
        <v>8</v>
      </c>
      <c r="AG45" s="2">
        <v>4</v>
      </c>
      <c r="AH45" s="2">
        <v>0</v>
      </c>
      <c r="AI45" s="2">
        <v>0</v>
      </c>
      <c r="AJ45" s="2">
        <v>4</v>
      </c>
      <c r="AK45" s="2">
        <v>0</v>
      </c>
      <c r="AL45" s="2">
        <v>9</v>
      </c>
      <c r="AM45" s="2">
        <v>3</v>
      </c>
      <c r="AN45" s="2">
        <v>42</v>
      </c>
      <c r="AO45" s="2">
        <v>8</v>
      </c>
      <c r="AP45" s="2">
        <v>0</v>
      </c>
      <c r="AS45" s="124">
        <v>44568</v>
      </c>
      <c r="AT45" s="2">
        <v>136</v>
      </c>
      <c r="BZ45" s="2"/>
      <c r="CA45" s="19" t="s">
        <v>255</v>
      </c>
      <c r="CB45" s="2">
        <v>6</v>
      </c>
      <c r="CC45" s="2">
        <v>1</v>
      </c>
      <c r="CD45" s="2">
        <v>1</v>
      </c>
      <c r="CE45" s="2">
        <v>0</v>
      </c>
      <c r="CF45" s="2">
        <v>0</v>
      </c>
      <c r="CG45" s="2">
        <v>0</v>
      </c>
      <c r="CH45" s="2">
        <v>0</v>
      </c>
      <c r="CI45" s="2">
        <v>0</v>
      </c>
      <c r="CJ45" s="2">
        <v>0</v>
      </c>
      <c r="CK45" s="2">
        <v>0</v>
      </c>
      <c r="CL45" s="2">
        <v>8</v>
      </c>
      <c r="CM45" s="2">
        <v>4</v>
      </c>
      <c r="CN45" s="2">
        <v>0</v>
      </c>
      <c r="CP45" s="2"/>
      <c r="CR45" s="124">
        <v>44568</v>
      </c>
      <c r="CS45" s="2">
        <v>33</v>
      </c>
    </row>
    <row r="46" spans="29:97" x14ac:dyDescent="0.35">
      <c r="AC46" s="19" t="s">
        <v>99</v>
      </c>
      <c r="AD46" s="2">
        <v>0</v>
      </c>
      <c r="AE46" s="2">
        <v>0</v>
      </c>
      <c r="AF46" s="2">
        <v>0</v>
      </c>
      <c r="AG46" s="2">
        <v>0</v>
      </c>
      <c r="AH46" s="2">
        <v>0</v>
      </c>
      <c r="AI46" s="2">
        <v>0</v>
      </c>
      <c r="AJ46" s="2">
        <v>0</v>
      </c>
      <c r="AK46" s="2">
        <v>0</v>
      </c>
      <c r="AL46" s="2">
        <v>0</v>
      </c>
      <c r="AM46" s="2">
        <v>0</v>
      </c>
      <c r="AN46" s="2">
        <v>0</v>
      </c>
      <c r="AO46" s="2">
        <v>0</v>
      </c>
      <c r="AP46" s="2">
        <v>0</v>
      </c>
      <c r="AS46" s="124">
        <v>44569</v>
      </c>
      <c r="AT46" s="2">
        <v>70</v>
      </c>
      <c r="BZ46" s="2"/>
      <c r="CA46" s="19" t="s">
        <v>99</v>
      </c>
      <c r="CB46" s="2">
        <v>0</v>
      </c>
      <c r="CC46" s="2">
        <v>0</v>
      </c>
      <c r="CD46" s="2">
        <v>0</v>
      </c>
      <c r="CE46" s="2">
        <v>0</v>
      </c>
      <c r="CF46" s="2">
        <v>0</v>
      </c>
      <c r="CG46" s="2">
        <v>0</v>
      </c>
      <c r="CH46" s="2">
        <v>0</v>
      </c>
      <c r="CI46" s="2">
        <v>0</v>
      </c>
      <c r="CJ46" s="2">
        <v>0</v>
      </c>
      <c r="CK46" s="2">
        <v>0</v>
      </c>
      <c r="CL46" s="2">
        <v>0</v>
      </c>
      <c r="CM46" s="2">
        <v>0</v>
      </c>
      <c r="CN46" s="2">
        <v>0</v>
      </c>
      <c r="CP46" s="2"/>
      <c r="CR46" s="124">
        <v>44569</v>
      </c>
      <c r="CS46" s="2">
        <v>16</v>
      </c>
    </row>
    <row r="47" spans="29:97" x14ac:dyDescent="0.35">
      <c r="AC47" s="19" t="s">
        <v>100</v>
      </c>
      <c r="AD47" s="2">
        <v>0</v>
      </c>
      <c r="AE47" s="2">
        <v>0</v>
      </c>
      <c r="AF47" s="2">
        <v>0</v>
      </c>
      <c r="AG47" s="2">
        <v>0</v>
      </c>
      <c r="AH47" s="2">
        <v>0</v>
      </c>
      <c r="AI47" s="2">
        <v>0</v>
      </c>
      <c r="AJ47" s="2">
        <v>0</v>
      </c>
      <c r="AK47" s="2">
        <v>0</v>
      </c>
      <c r="AL47" s="2">
        <v>0</v>
      </c>
      <c r="AM47" s="2">
        <v>0</v>
      </c>
      <c r="AN47" s="2">
        <v>0</v>
      </c>
      <c r="AO47" s="2">
        <v>0</v>
      </c>
      <c r="AP47" s="2">
        <v>0</v>
      </c>
      <c r="AS47" s="124">
        <v>44570</v>
      </c>
      <c r="AT47" s="2">
        <v>67</v>
      </c>
      <c r="BZ47" s="2"/>
      <c r="CA47" s="19" t="s">
        <v>100</v>
      </c>
      <c r="CB47" s="2">
        <v>0</v>
      </c>
      <c r="CC47" s="2">
        <v>0</v>
      </c>
      <c r="CD47" s="2">
        <v>0</v>
      </c>
      <c r="CE47" s="2">
        <v>0</v>
      </c>
      <c r="CF47" s="2">
        <v>0</v>
      </c>
      <c r="CG47" s="2">
        <v>0</v>
      </c>
      <c r="CH47" s="2">
        <v>0</v>
      </c>
      <c r="CI47" s="2">
        <v>0</v>
      </c>
      <c r="CJ47" s="2">
        <v>0</v>
      </c>
      <c r="CK47" s="2">
        <v>0</v>
      </c>
      <c r="CL47" s="2">
        <v>0</v>
      </c>
      <c r="CM47" s="2">
        <v>0</v>
      </c>
      <c r="CN47" s="2">
        <v>0</v>
      </c>
      <c r="CP47" s="2"/>
      <c r="CR47" s="124">
        <v>44570</v>
      </c>
      <c r="CS47" s="2">
        <v>20</v>
      </c>
    </row>
    <row r="48" spans="29:97" x14ac:dyDescent="0.35">
      <c r="AC48" s="19" t="s">
        <v>101</v>
      </c>
      <c r="AD48" s="2">
        <v>0</v>
      </c>
      <c r="AE48" s="2">
        <v>0</v>
      </c>
      <c r="AF48" s="2">
        <v>0</v>
      </c>
      <c r="AG48" s="2">
        <v>0</v>
      </c>
      <c r="AH48" s="2">
        <v>0</v>
      </c>
      <c r="AI48" s="2">
        <v>0</v>
      </c>
      <c r="AJ48" s="2">
        <v>0</v>
      </c>
      <c r="AK48" s="2">
        <v>0</v>
      </c>
      <c r="AL48" s="2">
        <v>0</v>
      </c>
      <c r="AM48" s="2">
        <v>0</v>
      </c>
      <c r="AN48" s="2">
        <v>0</v>
      </c>
      <c r="AO48" s="2">
        <v>0</v>
      </c>
      <c r="AP48" s="2">
        <v>0</v>
      </c>
      <c r="AS48" s="124">
        <v>44571</v>
      </c>
      <c r="AT48" s="2">
        <v>88</v>
      </c>
      <c r="BZ48" s="2"/>
      <c r="CA48" s="19" t="s">
        <v>101</v>
      </c>
      <c r="CB48" s="2">
        <v>0</v>
      </c>
      <c r="CC48" s="2">
        <v>0</v>
      </c>
      <c r="CD48" s="2">
        <v>0</v>
      </c>
      <c r="CE48" s="2">
        <v>0</v>
      </c>
      <c r="CF48" s="2">
        <v>0</v>
      </c>
      <c r="CG48" s="2">
        <v>0</v>
      </c>
      <c r="CH48" s="2">
        <v>0</v>
      </c>
      <c r="CI48" s="2">
        <v>0</v>
      </c>
      <c r="CJ48" s="2">
        <v>0</v>
      </c>
      <c r="CK48" s="2">
        <v>0</v>
      </c>
      <c r="CL48" s="2">
        <v>0</v>
      </c>
      <c r="CM48" s="2">
        <v>0</v>
      </c>
      <c r="CN48" s="2">
        <v>0</v>
      </c>
      <c r="CP48" s="2"/>
      <c r="CR48" s="124">
        <v>44571</v>
      </c>
      <c r="CS48" s="2">
        <v>18</v>
      </c>
    </row>
    <row r="49" spans="29:97" x14ac:dyDescent="0.35">
      <c r="AC49" s="19" t="s">
        <v>102</v>
      </c>
      <c r="AD49" s="2">
        <v>0</v>
      </c>
      <c r="AE49" s="2">
        <v>0</v>
      </c>
      <c r="AF49" s="2">
        <v>0</v>
      </c>
      <c r="AG49" s="2">
        <v>0</v>
      </c>
      <c r="AH49" s="2">
        <v>0</v>
      </c>
      <c r="AI49" s="2">
        <v>0</v>
      </c>
      <c r="AJ49" s="2">
        <v>0</v>
      </c>
      <c r="AK49" s="2">
        <v>0</v>
      </c>
      <c r="AL49" s="2">
        <v>0</v>
      </c>
      <c r="AM49" s="2">
        <v>0</v>
      </c>
      <c r="AN49" s="2">
        <v>0</v>
      </c>
      <c r="AO49" s="2">
        <v>0</v>
      </c>
      <c r="AP49" s="2">
        <v>0</v>
      </c>
      <c r="AS49" s="124">
        <v>44572</v>
      </c>
      <c r="AT49" s="2">
        <v>59</v>
      </c>
      <c r="BZ49" s="2"/>
      <c r="CA49" s="19" t="s">
        <v>102</v>
      </c>
      <c r="CB49" s="2">
        <v>0</v>
      </c>
      <c r="CC49" s="2">
        <v>0</v>
      </c>
      <c r="CD49" s="2">
        <v>0</v>
      </c>
      <c r="CE49" s="2">
        <v>0</v>
      </c>
      <c r="CF49" s="2">
        <v>0</v>
      </c>
      <c r="CG49" s="2">
        <v>0</v>
      </c>
      <c r="CH49" s="2">
        <v>0</v>
      </c>
      <c r="CI49" s="2">
        <v>0</v>
      </c>
      <c r="CJ49" s="2">
        <v>0</v>
      </c>
      <c r="CK49" s="2">
        <v>0</v>
      </c>
      <c r="CL49" s="2">
        <v>0</v>
      </c>
      <c r="CM49" s="2">
        <v>0</v>
      </c>
      <c r="CN49" s="2">
        <v>0</v>
      </c>
      <c r="CP49" s="2"/>
      <c r="CR49" s="124">
        <v>44572</v>
      </c>
      <c r="CS49" s="2">
        <v>23</v>
      </c>
    </row>
    <row r="50" spans="29:97" x14ac:dyDescent="0.35">
      <c r="AC50" s="19" t="s">
        <v>103</v>
      </c>
      <c r="AD50" s="2">
        <v>49</v>
      </c>
      <c r="AE50" s="2">
        <v>74</v>
      </c>
      <c r="AF50" s="2">
        <v>98</v>
      </c>
      <c r="AG50" s="2">
        <v>33</v>
      </c>
      <c r="AH50" s="2">
        <v>0</v>
      </c>
      <c r="AI50" s="2">
        <v>12</v>
      </c>
      <c r="AJ50" s="2">
        <v>0</v>
      </c>
      <c r="AK50" s="2">
        <v>0</v>
      </c>
      <c r="AL50" s="2">
        <v>0</v>
      </c>
      <c r="AM50" s="2">
        <v>44</v>
      </c>
      <c r="AN50" s="2">
        <v>28</v>
      </c>
      <c r="AO50" s="2">
        <v>40</v>
      </c>
      <c r="AP50" s="2">
        <v>8</v>
      </c>
      <c r="AS50" s="124">
        <v>44573</v>
      </c>
      <c r="AT50" s="2">
        <v>91</v>
      </c>
      <c r="BZ50" s="2"/>
      <c r="CA50" s="19" t="s">
        <v>103</v>
      </c>
      <c r="CB50" s="2">
        <v>19</v>
      </c>
      <c r="CC50" s="2">
        <v>15</v>
      </c>
      <c r="CD50" s="2">
        <v>16</v>
      </c>
      <c r="CE50" s="2">
        <v>8</v>
      </c>
      <c r="CF50" s="2">
        <v>0</v>
      </c>
      <c r="CG50" s="2">
        <v>0</v>
      </c>
      <c r="CH50" s="2">
        <v>0</v>
      </c>
      <c r="CI50" s="2">
        <v>0</v>
      </c>
      <c r="CJ50" s="2">
        <v>0</v>
      </c>
      <c r="CK50" s="2">
        <v>11</v>
      </c>
      <c r="CL50" s="2">
        <v>1</v>
      </c>
      <c r="CM50" s="2">
        <v>4</v>
      </c>
      <c r="CN50" s="2">
        <v>2</v>
      </c>
      <c r="CP50" s="2"/>
      <c r="CR50" s="124">
        <v>44573</v>
      </c>
      <c r="CS50" s="2">
        <v>20</v>
      </c>
    </row>
    <row r="51" spans="29:97" x14ac:dyDescent="0.35">
      <c r="AC51" s="19" t="s">
        <v>104</v>
      </c>
      <c r="AD51" s="2">
        <v>0</v>
      </c>
      <c r="AE51" s="2">
        <v>0</v>
      </c>
      <c r="AF51" s="2">
        <v>0</v>
      </c>
      <c r="AG51" s="2">
        <v>0</v>
      </c>
      <c r="AH51" s="2">
        <v>0</v>
      </c>
      <c r="AI51" s="2">
        <v>0</v>
      </c>
      <c r="AJ51" s="2">
        <v>0</v>
      </c>
      <c r="AK51" s="2">
        <v>0</v>
      </c>
      <c r="AL51" s="2">
        <v>0</v>
      </c>
      <c r="AM51" s="2">
        <v>0</v>
      </c>
      <c r="AN51" s="2">
        <v>0</v>
      </c>
      <c r="AO51" s="2">
        <v>0</v>
      </c>
      <c r="AP51" s="2">
        <v>0</v>
      </c>
      <c r="AS51" s="124">
        <v>44574</v>
      </c>
      <c r="AT51" s="2">
        <v>128</v>
      </c>
      <c r="BZ51" s="2"/>
      <c r="CA51" s="19" t="s">
        <v>104</v>
      </c>
      <c r="CB51" s="2">
        <v>0</v>
      </c>
      <c r="CC51" s="2">
        <v>0</v>
      </c>
      <c r="CD51" s="2">
        <v>0</v>
      </c>
      <c r="CE51" s="2">
        <v>0</v>
      </c>
      <c r="CF51" s="2">
        <v>0</v>
      </c>
      <c r="CG51" s="2">
        <v>0</v>
      </c>
      <c r="CH51" s="2">
        <v>0</v>
      </c>
      <c r="CI51" s="2">
        <v>0</v>
      </c>
      <c r="CJ51" s="2">
        <v>0</v>
      </c>
      <c r="CK51" s="2">
        <v>0</v>
      </c>
      <c r="CL51" s="2">
        <v>0</v>
      </c>
      <c r="CM51" s="2">
        <v>0</v>
      </c>
      <c r="CN51" s="2">
        <v>0</v>
      </c>
      <c r="CP51" s="2"/>
      <c r="CR51" s="124">
        <v>44574</v>
      </c>
      <c r="CS51" s="2">
        <v>33</v>
      </c>
    </row>
    <row r="52" spans="29:97" x14ac:dyDescent="0.35">
      <c r="AC52" s="19" t="s">
        <v>105</v>
      </c>
      <c r="AD52" s="2">
        <v>0</v>
      </c>
      <c r="AE52" s="2">
        <v>0</v>
      </c>
      <c r="AF52" s="2">
        <v>0</v>
      </c>
      <c r="AG52" s="2">
        <v>0</v>
      </c>
      <c r="AH52" s="2">
        <v>0</v>
      </c>
      <c r="AI52" s="2">
        <v>0</v>
      </c>
      <c r="AJ52" s="2">
        <v>0</v>
      </c>
      <c r="AK52" s="2">
        <v>0</v>
      </c>
      <c r="AL52" s="2">
        <v>0</v>
      </c>
      <c r="AM52" s="2">
        <v>0</v>
      </c>
      <c r="AN52" s="2">
        <v>0</v>
      </c>
      <c r="AO52" s="2">
        <v>0</v>
      </c>
      <c r="AP52" s="2">
        <v>0</v>
      </c>
      <c r="AS52" s="124">
        <v>44575</v>
      </c>
      <c r="AT52" s="2">
        <v>93</v>
      </c>
      <c r="BZ52" s="2"/>
      <c r="CA52" s="19" t="s">
        <v>105</v>
      </c>
      <c r="CB52" s="2">
        <v>0</v>
      </c>
      <c r="CC52" s="2">
        <v>0</v>
      </c>
      <c r="CD52" s="2">
        <v>0</v>
      </c>
      <c r="CE52" s="2">
        <v>0</v>
      </c>
      <c r="CF52" s="2">
        <v>0</v>
      </c>
      <c r="CG52" s="2">
        <v>0</v>
      </c>
      <c r="CH52" s="2">
        <v>0</v>
      </c>
      <c r="CI52" s="2">
        <v>0</v>
      </c>
      <c r="CJ52" s="2">
        <v>0</v>
      </c>
      <c r="CK52" s="2">
        <v>0</v>
      </c>
      <c r="CL52" s="2">
        <v>0</v>
      </c>
      <c r="CM52" s="2">
        <v>0</v>
      </c>
      <c r="CN52" s="2">
        <v>0</v>
      </c>
      <c r="CP52" s="2"/>
      <c r="CR52" s="124">
        <v>44575</v>
      </c>
      <c r="CS52" s="2">
        <v>27</v>
      </c>
    </row>
    <row r="53" spans="29:97" x14ac:dyDescent="0.35">
      <c r="AC53" s="19" t="s">
        <v>106</v>
      </c>
      <c r="AD53" s="2">
        <v>32</v>
      </c>
      <c r="AE53" s="2">
        <v>0</v>
      </c>
      <c r="AF53" s="2">
        <v>12</v>
      </c>
      <c r="AG53" s="2">
        <v>16</v>
      </c>
      <c r="AH53" s="2">
        <v>4</v>
      </c>
      <c r="AI53" s="2">
        <v>0</v>
      </c>
      <c r="AJ53" s="2">
        <v>0</v>
      </c>
      <c r="AK53" s="2">
        <v>0</v>
      </c>
      <c r="AL53" s="2">
        <v>12</v>
      </c>
      <c r="AM53" s="2">
        <v>32</v>
      </c>
      <c r="AN53" s="2">
        <v>4</v>
      </c>
      <c r="AO53" s="2">
        <v>4</v>
      </c>
      <c r="AP53" s="2">
        <v>110</v>
      </c>
      <c r="AS53" s="124">
        <v>44576</v>
      </c>
      <c r="AT53" s="2">
        <v>128</v>
      </c>
      <c r="BZ53" s="2"/>
      <c r="CA53" s="19" t="s">
        <v>106</v>
      </c>
      <c r="CB53" s="2">
        <v>9</v>
      </c>
      <c r="CC53" s="2">
        <v>0</v>
      </c>
      <c r="CD53" s="2">
        <v>1</v>
      </c>
      <c r="CE53" s="2">
        <v>4</v>
      </c>
      <c r="CF53" s="2">
        <v>1</v>
      </c>
      <c r="CG53" s="2">
        <v>0</v>
      </c>
      <c r="CH53" s="2">
        <v>0</v>
      </c>
      <c r="CI53" s="2">
        <v>0</v>
      </c>
      <c r="CJ53" s="2">
        <v>0</v>
      </c>
      <c r="CK53" s="2">
        <v>8</v>
      </c>
      <c r="CL53" s="2">
        <v>0</v>
      </c>
      <c r="CM53" s="2">
        <v>0</v>
      </c>
      <c r="CN53" s="2">
        <v>5</v>
      </c>
      <c r="CP53" s="2"/>
      <c r="CR53" s="124">
        <v>44576</v>
      </c>
      <c r="CS53" s="2">
        <v>32</v>
      </c>
    </row>
    <row r="54" spans="29:97" x14ac:dyDescent="0.35">
      <c r="AC54" s="19" t="s">
        <v>107</v>
      </c>
      <c r="AD54" s="2">
        <v>0</v>
      </c>
      <c r="AE54" s="2">
        <v>4</v>
      </c>
      <c r="AF54" s="2">
        <v>0</v>
      </c>
      <c r="AG54" s="2">
        <v>0</v>
      </c>
      <c r="AH54" s="2">
        <v>0</v>
      </c>
      <c r="AI54" s="2">
        <v>0</v>
      </c>
      <c r="AJ54" s="2">
        <v>0</v>
      </c>
      <c r="AK54" s="2">
        <v>0</v>
      </c>
      <c r="AL54" s="2">
        <v>0</v>
      </c>
      <c r="AM54" s="2">
        <v>0</v>
      </c>
      <c r="AN54" s="2">
        <v>0</v>
      </c>
      <c r="AO54" s="2">
        <v>0</v>
      </c>
      <c r="AP54" s="2">
        <v>0</v>
      </c>
      <c r="AS54" s="124">
        <v>44577</v>
      </c>
      <c r="AT54" s="2">
        <v>162</v>
      </c>
      <c r="BZ54" s="2"/>
      <c r="CA54" s="19" t="s">
        <v>107</v>
      </c>
      <c r="CB54" s="2">
        <v>0</v>
      </c>
      <c r="CC54" s="2">
        <v>1</v>
      </c>
      <c r="CD54" s="2">
        <v>0</v>
      </c>
      <c r="CE54" s="2">
        <v>0</v>
      </c>
      <c r="CF54" s="2">
        <v>0</v>
      </c>
      <c r="CG54" s="2">
        <v>0</v>
      </c>
      <c r="CH54" s="2">
        <v>0</v>
      </c>
      <c r="CI54" s="2">
        <v>0</v>
      </c>
      <c r="CJ54" s="2">
        <v>0</v>
      </c>
      <c r="CK54" s="2">
        <v>0</v>
      </c>
      <c r="CL54" s="2">
        <v>0</v>
      </c>
      <c r="CM54" s="2">
        <v>0</v>
      </c>
      <c r="CN54" s="2">
        <v>0</v>
      </c>
      <c r="CP54" s="2"/>
      <c r="CR54" s="124">
        <v>44577</v>
      </c>
      <c r="CS54" s="2">
        <v>28</v>
      </c>
    </row>
    <row r="55" spans="29:97" x14ac:dyDescent="0.35">
      <c r="AC55" s="19" t="s">
        <v>256</v>
      </c>
      <c r="AD55" s="2">
        <v>0</v>
      </c>
      <c r="AE55" s="2">
        <v>0</v>
      </c>
      <c r="AF55" s="2">
        <v>0</v>
      </c>
      <c r="AG55" s="2">
        <v>0</v>
      </c>
      <c r="AH55" s="2">
        <v>0</v>
      </c>
      <c r="AI55" s="2">
        <v>0</v>
      </c>
      <c r="AJ55" s="2">
        <v>0</v>
      </c>
      <c r="AK55" s="2">
        <v>0</v>
      </c>
      <c r="AL55" s="2">
        <v>0</v>
      </c>
      <c r="AM55" s="2">
        <v>0</v>
      </c>
      <c r="AN55" s="2">
        <v>0</v>
      </c>
      <c r="AO55" s="2">
        <v>0</v>
      </c>
      <c r="AP55" s="2">
        <v>0</v>
      </c>
      <c r="AS55" s="124">
        <v>44578</v>
      </c>
      <c r="AT55" s="2">
        <v>182</v>
      </c>
      <c r="BZ55" s="2"/>
      <c r="CA55" s="19" t="s">
        <v>256</v>
      </c>
      <c r="CB55" s="2">
        <v>0</v>
      </c>
      <c r="CC55" s="2">
        <v>0</v>
      </c>
      <c r="CD55" s="2">
        <v>0</v>
      </c>
      <c r="CE55" s="2">
        <v>0</v>
      </c>
      <c r="CF55" s="2">
        <v>0</v>
      </c>
      <c r="CG55" s="2">
        <v>0</v>
      </c>
      <c r="CH55" s="2">
        <v>0</v>
      </c>
      <c r="CI55" s="2">
        <v>0</v>
      </c>
      <c r="CJ55" s="2">
        <v>0</v>
      </c>
      <c r="CK55" s="2">
        <v>0</v>
      </c>
      <c r="CL55" s="2">
        <v>0</v>
      </c>
      <c r="CM55" s="2">
        <v>0</v>
      </c>
      <c r="CN55" s="2">
        <v>0</v>
      </c>
      <c r="CP55" s="2"/>
      <c r="CR55" s="124">
        <v>44578</v>
      </c>
      <c r="CS55" s="2">
        <v>28</v>
      </c>
    </row>
    <row r="56" spans="29:97" x14ac:dyDescent="0.35">
      <c r="AC56" s="19" t="s">
        <v>215</v>
      </c>
      <c r="AD56" s="2">
        <v>0</v>
      </c>
      <c r="AE56" s="2">
        <v>0</v>
      </c>
      <c r="AF56" s="2">
        <v>0</v>
      </c>
      <c r="AG56" s="2">
        <v>0</v>
      </c>
      <c r="AH56" s="2">
        <v>0</v>
      </c>
      <c r="AI56" s="2">
        <v>0</v>
      </c>
      <c r="AJ56" s="2">
        <v>0</v>
      </c>
      <c r="AK56" s="2">
        <v>0</v>
      </c>
      <c r="AL56" s="2">
        <v>0</v>
      </c>
      <c r="AM56" s="2">
        <v>0</v>
      </c>
      <c r="AN56" s="2">
        <v>0</v>
      </c>
      <c r="AO56" s="2">
        <v>0</v>
      </c>
      <c r="AP56" s="2">
        <v>0</v>
      </c>
      <c r="AS56" s="124">
        <v>44579</v>
      </c>
      <c r="AT56" s="2">
        <v>207</v>
      </c>
      <c r="BZ56" s="2"/>
      <c r="CA56" s="19" t="s">
        <v>215</v>
      </c>
      <c r="CB56" s="2">
        <v>0</v>
      </c>
      <c r="CC56" s="2">
        <v>0</v>
      </c>
      <c r="CD56" s="2">
        <v>0</v>
      </c>
      <c r="CE56" s="2">
        <v>0</v>
      </c>
      <c r="CF56" s="2">
        <v>0</v>
      </c>
      <c r="CG56" s="2">
        <v>0</v>
      </c>
      <c r="CH56" s="2">
        <v>0</v>
      </c>
      <c r="CI56" s="2">
        <v>0</v>
      </c>
      <c r="CJ56" s="2">
        <v>0</v>
      </c>
      <c r="CK56" s="2">
        <v>0</v>
      </c>
      <c r="CL56" s="2">
        <v>0</v>
      </c>
      <c r="CM56" s="2">
        <v>0</v>
      </c>
      <c r="CN56" s="2">
        <v>0</v>
      </c>
      <c r="CP56" s="2"/>
      <c r="CR56" s="124">
        <v>44579</v>
      </c>
      <c r="CS56" s="2">
        <v>38</v>
      </c>
    </row>
    <row r="57" spans="29:97" x14ac:dyDescent="0.35">
      <c r="AC57" s="19" t="s">
        <v>108</v>
      </c>
      <c r="AD57" s="2">
        <v>0</v>
      </c>
      <c r="AE57" s="2">
        <v>0</v>
      </c>
      <c r="AF57" s="2">
        <v>0</v>
      </c>
      <c r="AG57" s="2">
        <v>0</v>
      </c>
      <c r="AH57" s="2">
        <v>0</v>
      </c>
      <c r="AI57" s="2">
        <v>0</v>
      </c>
      <c r="AJ57" s="2">
        <v>0</v>
      </c>
      <c r="AK57" s="2">
        <v>0</v>
      </c>
      <c r="AL57" s="2">
        <v>0</v>
      </c>
      <c r="AM57" s="2">
        <v>0</v>
      </c>
      <c r="AN57" s="2">
        <v>0</v>
      </c>
      <c r="AO57" s="2">
        <v>0</v>
      </c>
      <c r="AP57" s="2">
        <v>0</v>
      </c>
      <c r="AS57" s="124">
        <v>44580</v>
      </c>
      <c r="AT57" s="2">
        <v>269</v>
      </c>
      <c r="BZ57" s="2"/>
      <c r="CA57" s="19" t="s">
        <v>108</v>
      </c>
      <c r="CB57" s="2">
        <v>0</v>
      </c>
      <c r="CC57" s="2">
        <v>0</v>
      </c>
      <c r="CD57" s="2">
        <v>0</v>
      </c>
      <c r="CE57" s="2">
        <v>0</v>
      </c>
      <c r="CF57" s="2">
        <v>0</v>
      </c>
      <c r="CG57" s="2">
        <v>0</v>
      </c>
      <c r="CH57" s="2">
        <v>0</v>
      </c>
      <c r="CI57" s="2">
        <v>0</v>
      </c>
      <c r="CJ57" s="2">
        <v>0</v>
      </c>
      <c r="CK57" s="2">
        <v>0</v>
      </c>
      <c r="CL57" s="2">
        <v>0</v>
      </c>
      <c r="CM57" s="2">
        <v>0</v>
      </c>
      <c r="CN57" s="2">
        <v>0</v>
      </c>
      <c r="CP57" s="2"/>
      <c r="CR57" s="124">
        <v>44580</v>
      </c>
      <c r="CS57" s="2">
        <v>51</v>
      </c>
    </row>
    <row r="58" spans="29:97" x14ac:dyDescent="0.35">
      <c r="AC58" s="19" t="s">
        <v>109</v>
      </c>
      <c r="AD58" s="2">
        <v>0</v>
      </c>
      <c r="AE58" s="2">
        <v>0</v>
      </c>
      <c r="AF58" s="2">
        <v>0</v>
      </c>
      <c r="AG58" s="2">
        <v>0</v>
      </c>
      <c r="AH58" s="2">
        <v>0</v>
      </c>
      <c r="AI58" s="2">
        <v>0</v>
      </c>
      <c r="AJ58" s="2">
        <v>0</v>
      </c>
      <c r="AK58" s="2">
        <v>0</v>
      </c>
      <c r="AL58" s="2">
        <v>0</v>
      </c>
      <c r="AM58" s="2">
        <v>0</v>
      </c>
      <c r="AN58" s="2">
        <v>0</v>
      </c>
      <c r="AO58" s="2">
        <v>0</v>
      </c>
      <c r="AP58" s="2">
        <v>0</v>
      </c>
      <c r="AS58" s="124">
        <v>44581</v>
      </c>
      <c r="AT58" s="2">
        <v>301</v>
      </c>
      <c r="BZ58" s="2"/>
      <c r="CA58" s="19" t="s">
        <v>109</v>
      </c>
      <c r="CB58" s="2">
        <v>0</v>
      </c>
      <c r="CC58" s="2">
        <v>0</v>
      </c>
      <c r="CD58" s="2">
        <v>0</v>
      </c>
      <c r="CE58" s="2">
        <v>0</v>
      </c>
      <c r="CF58" s="2">
        <v>0</v>
      </c>
      <c r="CG58" s="2">
        <v>0</v>
      </c>
      <c r="CH58" s="2">
        <v>0</v>
      </c>
      <c r="CI58" s="2">
        <v>0</v>
      </c>
      <c r="CJ58" s="2">
        <v>0</v>
      </c>
      <c r="CK58" s="2">
        <v>0</v>
      </c>
      <c r="CL58" s="2">
        <v>0</v>
      </c>
      <c r="CM58" s="2">
        <v>0</v>
      </c>
      <c r="CN58" s="2">
        <v>0</v>
      </c>
      <c r="CP58" s="2"/>
      <c r="CR58" s="124">
        <v>44581</v>
      </c>
      <c r="CS58" s="2">
        <v>58</v>
      </c>
    </row>
    <row r="59" spans="29:97" x14ac:dyDescent="0.35">
      <c r="AC59" s="19" t="s">
        <v>110</v>
      </c>
      <c r="AD59" s="2">
        <v>0</v>
      </c>
      <c r="AE59" s="2">
        <v>0</v>
      </c>
      <c r="AF59" s="2">
        <v>0</v>
      </c>
      <c r="AG59" s="2">
        <v>0</v>
      </c>
      <c r="AH59" s="2">
        <v>0</v>
      </c>
      <c r="AI59" s="2">
        <v>0</v>
      </c>
      <c r="AJ59" s="2">
        <v>0</v>
      </c>
      <c r="AK59" s="2">
        <v>0</v>
      </c>
      <c r="AL59" s="2">
        <v>0</v>
      </c>
      <c r="AM59" s="2">
        <v>0</v>
      </c>
      <c r="AN59" s="2">
        <v>0</v>
      </c>
      <c r="AO59" s="2">
        <v>0</v>
      </c>
      <c r="AP59" s="2">
        <v>0</v>
      </c>
      <c r="AS59" s="124">
        <v>44582</v>
      </c>
      <c r="AT59" s="2">
        <v>253</v>
      </c>
      <c r="BZ59" s="2"/>
      <c r="CA59" s="19" t="s">
        <v>110</v>
      </c>
      <c r="CB59" s="2">
        <v>0</v>
      </c>
      <c r="CC59" s="2">
        <v>0</v>
      </c>
      <c r="CD59" s="2">
        <v>0</v>
      </c>
      <c r="CE59" s="2">
        <v>0</v>
      </c>
      <c r="CF59" s="2">
        <v>0</v>
      </c>
      <c r="CG59" s="2">
        <v>0</v>
      </c>
      <c r="CH59" s="2">
        <v>0</v>
      </c>
      <c r="CI59" s="2">
        <v>0</v>
      </c>
      <c r="CJ59" s="2">
        <v>0</v>
      </c>
      <c r="CK59" s="2">
        <v>0</v>
      </c>
      <c r="CL59" s="2">
        <v>0</v>
      </c>
      <c r="CM59" s="2">
        <v>0</v>
      </c>
      <c r="CN59" s="2">
        <v>0</v>
      </c>
      <c r="CP59" s="2"/>
      <c r="CR59" s="124">
        <v>44582</v>
      </c>
      <c r="CS59" s="2">
        <v>52</v>
      </c>
    </row>
    <row r="60" spans="29:97" x14ac:dyDescent="0.35">
      <c r="AC60" s="19" t="s">
        <v>288</v>
      </c>
      <c r="AD60" s="2">
        <v>0</v>
      </c>
      <c r="AE60" s="2">
        <v>0</v>
      </c>
      <c r="AF60" s="2">
        <v>0</v>
      </c>
      <c r="AG60" s="2">
        <v>0</v>
      </c>
      <c r="AH60" s="2">
        <v>0</v>
      </c>
      <c r="AI60" s="2">
        <v>0</v>
      </c>
      <c r="AJ60" s="2">
        <v>0</v>
      </c>
      <c r="AK60" s="2">
        <v>0</v>
      </c>
      <c r="AL60" s="2">
        <v>0</v>
      </c>
      <c r="AM60" s="2">
        <v>0</v>
      </c>
      <c r="AN60" s="2">
        <v>0</v>
      </c>
      <c r="AO60" s="2">
        <v>0</v>
      </c>
      <c r="AP60" s="2">
        <v>0</v>
      </c>
      <c r="AS60" s="124">
        <v>44583</v>
      </c>
      <c r="AT60" s="2">
        <v>227</v>
      </c>
      <c r="BZ60" s="2"/>
      <c r="CA60" s="19" t="s">
        <v>288</v>
      </c>
      <c r="CB60" s="2">
        <v>0</v>
      </c>
      <c r="CC60" s="2">
        <v>0</v>
      </c>
      <c r="CD60" s="2">
        <v>0</v>
      </c>
      <c r="CE60" s="2">
        <v>0</v>
      </c>
      <c r="CF60" s="2">
        <v>0</v>
      </c>
      <c r="CG60" s="2">
        <v>0</v>
      </c>
      <c r="CH60" s="2">
        <v>0</v>
      </c>
      <c r="CI60" s="2">
        <v>0</v>
      </c>
      <c r="CJ60" s="2">
        <v>0</v>
      </c>
      <c r="CK60" s="2">
        <v>0</v>
      </c>
      <c r="CL60" s="2">
        <v>0</v>
      </c>
      <c r="CM60" s="2">
        <v>0</v>
      </c>
      <c r="CN60" s="2">
        <v>0</v>
      </c>
      <c r="CP60" s="2"/>
      <c r="CR60" s="124">
        <v>44583</v>
      </c>
      <c r="CS60" s="2">
        <v>61</v>
      </c>
    </row>
    <row r="61" spans="29:97" x14ac:dyDescent="0.35">
      <c r="AC61" s="19" t="s">
        <v>111</v>
      </c>
      <c r="AD61" s="2">
        <v>0</v>
      </c>
      <c r="AE61" s="2">
        <v>0</v>
      </c>
      <c r="AF61" s="2">
        <v>0</v>
      </c>
      <c r="AG61" s="2">
        <v>6</v>
      </c>
      <c r="AH61" s="2">
        <v>0</v>
      </c>
      <c r="AI61" s="2">
        <v>6</v>
      </c>
      <c r="AJ61" s="2">
        <v>6</v>
      </c>
      <c r="AK61" s="2">
        <v>6</v>
      </c>
      <c r="AL61" s="2">
        <v>0</v>
      </c>
      <c r="AM61" s="2">
        <v>14</v>
      </c>
      <c r="AN61" s="2">
        <v>6</v>
      </c>
      <c r="AO61" s="2">
        <v>30</v>
      </c>
      <c r="AP61" s="2">
        <v>2</v>
      </c>
      <c r="AS61" s="124">
        <v>44584</v>
      </c>
      <c r="AT61" s="2">
        <v>250</v>
      </c>
      <c r="BZ61" s="2"/>
      <c r="CA61" s="19" t="s">
        <v>111</v>
      </c>
      <c r="CB61" s="2">
        <v>0</v>
      </c>
      <c r="CC61" s="2">
        <v>0</v>
      </c>
      <c r="CD61" s="2">
        <v>0</v>
      </c>
      <c r="CE61" s="2">
        <v>0</v>
      </c>
      <c r="CF61" s="2">
        <v>0</v>
      </c>
      <c r="CG61" s="2">
        <v>1</v>
      </c>
      <c r="CH61" s="2">
        <v>2</v>
      </c>
      <c r="CI61" s="2">
        <v>3</v>
      </c>
      <c r="CJ61" s="2">
        <v>0</v>
      </c>
      <c r="CK61" s="2">
        <v>3</v>
      </c>
      <c r="CL61" s="2">
        <v>1</v>
      </c>
      <c r="CM61" s="2">
        <v>0</v>
      </c>
      <c r="CN61" s="2">
        <v>1</v>
      </c>
      <c r="CP61" s="2"/>
      <c r="CR61" s="124">
        <v>44584</v>
      </c>
      <c r="CS61" s="2">
        <v>71</v>
      </c>
    </row>
    <row r="62" spans="29:97" x14ac:dyDescent="0.35">
      <c r="AC62" s="19" t="s">
        <v>112</v>
      </c>
      <c r="AD62" s="2">
        <v>0</v>
      </c>
      <c r="AE62" s="2">
        <v>2</v>
      </c>
      <c r="AF62" s="2">
        <v>0</v>
      </c>
      <c r="AG62" s="2">
        <v>0</v>
      </c>
      <c r="AH62" s="2">
        <v>0</v>
      </c>
      <c r="AI62" s="2">
        <v>0</v>
      </c>
      <c r="AJ62" s="2">
        <v>0</v>
      </c>
      <c r="AK62" s="2">
        <v>0</v>
      </c>
      <c r="AL62" s="2">
        <v>0</v>
      </c>
      <c r="AM62" s="2">
        <v>0</v>
      </c>
      <c r="AN62" s="2">
        <v>0</v>
      </c>
      <c r="AO62" s="2">
        <v>0</v>
      </c>
      <c r="AP62" s="2">
        <v>4</v>
      </c>
      <c r="AS62" s="124">
        <v>44585</v>
      </c>
      <c r="AT62" s="2">
        <v>362</v>
      </c>
      <c r="BZ62" s="2"/>
      <c r="CA62" s="19" t="s">
        <v>112</v>
      </c>
      <c r="CB62" s="2">
        <v>0</v>
      </c>
      <c r="CC62" s="2">
        <v>2</v>
      </c>
      <c r="CD62" s="2">
        <v>0</v>
      </c>
      <c r="CE62" s="2">
        <v>0</v>
      </c>
      <c r="CF62" s="2">
        <v>0</v>
      </c>
      <c r="CG62" s="2">
        <v>0</v>
      </c>
      <c r="CH62" s="2">
        <v>0</v>
      </c>
      <c r="CI62" s="2">
        <v>0</v>
      </c>
      <c r="CJ62" s="2">
        <v>0</v>
      </c>
      <c r="CK62" s="2">
        <v>0</v>
      </c>
      <c r="CL62" s="2">
        <v>0</v>
      </c>
      <c r="CM62" s="2">
        <v>0</v>
      </c>
      <c r="CN62" s="2">
        <v>0</v>
      </c>
      <c r="CP62" s="2"/>
      <c r="CR62" s="124">
        <v>44585</v>
      </c>
      <c r="CS62" s="2">
        <v>73</v>
      </c>
    </row>
    <row r="63" spans="29:97" x14ac:dyDescent="0.35">
      <c r="AC63" s="19" t="s">
        <v>113</v>
      </c>
      <c r="AD63" s="2">
        <v>0</v>
      </c>
      <c r="AE63" s="2">
        <v>0</v>
      </c>
      <c r="AF63" s="2">
        <v>0</v>
      </c>
      <c r="AG63" s="2">
        <v>0</v>
      </c>
      <c r="AH63" s="2">
        <v>0</v>
      </c>
      <c r="AI63" s="2">
        <v>0</v>
      </c>
      <c r="AJ63" s="2">
        <v>0</v>
      </c>
      <c r="AK63" s="2">
        <v>0</v>
      </c>
      <c r="AL63" s="2">
        <v>0</v>
      </c>
      <c r="AM63" s="2">
        <v>0</v>
      </c>
      <c r="AN63" s="2">
        <v>0</v>
      </c>
      <c r="AO63" s="2">
        <v>0</v>
      </c>
      <c r="AP63" s="2">
        <v>0</v>
      </c>
      <c r="AS63" s="124">
        <v>44586</v>
      </c>
      <c r="AT63" s="2">
        <v>341</v>
      </c>
      <c r="BZ63" s="2"/>
      <c r="CA63" s="19" t="s">
        <v>113</v>
      </c>
      <c r="CB63" s="2">
        <v>0</v>
      </c>
      <c r="CC63" s="2">
        <v>0</v>
      </c>
      <c r="CD63" s="2">
        <v>0</v>
      </c>
      <c r="CE63" s="2">
        <v>0</v>
      </c>
      <c r="CF63" s="2">
        <v>0</v>
      </c>
      <c r="CG63" s="2">
        <v>0</v>
      </c>
      <c r="CH63" s="2">
        <v>0</v>
      </c>
      <c r="CI63" s="2">
        <v>0</v>
      </c>
      <c r="CJ63" s="2">
        <v>0</v>
      </c>
      <c r="CK63" s="2">
        <v>0</v>
      </c>
      <c r="CL63" s="2">
        <v>0</v>
      </c>
      <c r="CM63" s="2">
        <v>0</v>
      </c>
      <c r="CN63" s="2">
        <v>0</v>
      </c>
      <c r="CP63" s="2"/>
      <c r="CR63" s="124">
        <v>44586</v>
      </c>
      <c r="CS63" s="2">
        <v>65</v>
      </c>
    </row>
    <row r="64" spans="29:97" x14ac:dyDescent="0.35">
      <c r="AC64" s="19" t="s">
        <v>114</v>
      </c>
      <c r="AD64" s="2">
        <v>46</v>
      </c>
      <c r="AE64" s="2">
        <v>4</v>
      </c>
      <c r="AF64" s="2">
        <v>1</v>
      </c>
      <c r="AG64" s="2">
        <v>0</v>
      </c>
      <c r="AH64" s="2">
        <v>0</v>
      </c>
      <c r="AI64" s="2">
        <v>5</v>
      </c>
      <c r="AJ64" s="2">
        <v>56</v>
      </c>
      <c r="AK64" s="2">
        <v>56</v>
      </c>
      <c r="AL64" s="2">
        <v>12</v>
      </c>
      <c r="AM64" s="2">
        <v>31</v>
      </c>
      <c r="AN64" s="2">
        <v>17</v>
      </c>
      <c r="AO64" s="2">
        <v>22</v>
      </c>
      <c r="AP64" s="2">
        <v>20</v>
      </c>
      <c r="AS64" s="124">
        <v>44587</v>
      </c>
      <c r="AT64" s="2">
        <v>320</v>
      </c>
      <c r="BZ64" s="2"/>
      <c r="CA64" s="19" t="s">
        <v>114</v>
      </c>
      <c r="CB64" s="2">
        <v>46</v>
      </c>
      <c r="CC64" s="2">
        <v>4</v>
      </c>
      <c r="CD64" s="2">
        <v>1</v>
      </c>
      <c r="CE64" s="2">
        <v>0</v>
      </c>
      <c r="CF64" s="2">
        <v>0</v>
      </c>
      <c r="CG64" s="2">
        <v>5</v>
      </c>
      <c r="CH64" s="2">
        <v>56</v>
      </c>
      <c r="CI64" s="2">
        <v>56</v>
      </c>
      <c r="CJ64" s="2">
        <v>12</v>
      </c>
      <c r="CK64" s="2">
        <v>31</v>
      </c>
      <c r="CL64" s="2">
        <v>17</v>
      </c>
      <c r="CM64" s="2">
        <v>22</v>
      </c>
      <c r="CN64" s="2">
        <v>20</v>
      </c>
      <c r="CP64" s="2"/>
      <c r="CR64" s="124">
        <v>44587</v>
      </c>
      <c r="CS64" s="2">
        <v>67</v>
      </c>
    </row>
    <row r="65" spans="29:97" x14ac:dyDescent="0.35">
      <c r="AC65" s="19" t="s">
        <v>115</v>
      </c>
      <c r="AD65" s="2">
        <v>0</v>
      </c>
      <c r="AE65" s="2">
        <v>0</v>
      </c>
      <c r="AF65" s="2">
        <v>0</v>
      </c>
      <c r="AG65" s="2">
        <v>1</v>
      </c>
      <c r="AH65" s="2">
        <v>0</v>
      </c>
      <c r="AI65" s="2">
        <v>0</v>
      </c>
      <c r="AJ65" s="2">
        <v>0</v>
      </c>
      <c r="AK65" s="2">
        <v>0</v>
      </c>
      <c r="AL65" s="2">
        <v>0</v>
      </c>
      <c r="AM65" s="2">
        <v>0</v>
      </c>
      <c r="AN65" s="2">
        <v>0</v>
      </c>
      <c r="AO65" s="2">
        <v>0</v>
      </c>
      <c r="AP65" s="2">
        <v>0</v>
      </c>
      <c r="AS65" s="124">
        <v>44588</v>
      </c>
      <c r="AT65" s="2">
        <v>508</v>
      </c>
      <c r="BZ65" s="2"/>
      <c r="CA65" s="19" t="s">
        <v>115</v>
      </c>
      <c r="CB65" s="2">
        <v>0</v>
      </c>
      <c r="CC65" s="2">
        <v>0</v>
      </c>
      <c r="CD65" s="2">
        <v>0</v>
      </c>
      <c r="CE65" s="2">
        <v>1</v>
      </c>
      <c r="CF65" s="2">
        <v>0</v>
      </c>
      <c r="CG65" s="2">
        <v>0</v>
      </c>
      <c r="CH65" s="2">
        <v>0</v>
      </c>
      <c r="CI65" s="2">
        <v>0</v>
      </c>
      <c r="CJ65" s="2">
        <v>0</v>
      </c>
      <c r="CK65" s="2">
        <v>0</v>
      </c>
      <c r="CL65" s="2">
        <v>0</v>
      </c>
      <c r="CM65" s="2">
        <v>0</v>
      </c>
      <c r="CN65" s="2">
        <v>0</v>
      </c>
      <c r="CP65" s="2"/>
      <c r="CR65" s="124">
        <v>44588</v>
      </c>
      <c r="CS65" s="2">
        <v>86</v>
      </c>
    </row>
    <row r="66" spans="29:97" x14ac:dyDescent="0.35">
      <c r="AC66" s="19" t="s">
        <v>280</v>
      </c>
      <c r="AD66" s="2">
        <v>0</v>
      </c>
      <c r="AE66" s="2">
        <v>132</v>
      </c>
      <c r="AF66" s="2">
        <v>226</v>
      </c>
      <c r="AG66" s="2">
        <v>243</v>
      </c>
      <c r="AH66" s="2">
        <v>190</v>
      </c>
      <c r="AI66" s="2">
        <v>34</v>
      </c>
      <c r="AJ66" s="2">
        <v>0</v>
      </c>
      <c r="AK66" s="2">
        <v>0</v>
      </c>
      <c r="AL66" s="2">
        <v>140</v>
      </c>
      <c r="AM66" s="2">
        <v>125</v>
      </c>
      <c r="AN66" s="2">
        <v>15</v>
      </c>
      <c r="AO66" s="2">
        <v>0</v>
      </c>
      <c r="AP66" s="2">
        <v>0</v>
      </c>
      <c r="AS66" s="124">
        <v>44589</v>
      </c>
      <c r="AT66" s="2">
        <v>429</v>
      </c>
      <c r="BZ66" s="2"/>
      <c r="CA66" s="19" t="s">
        <v>280</v>
      </c>
      <c r="CB66" s="2">
        <v>0</v>
      </c>
      <c r="CC66" s="2">
        <v>6</v>
      </c>
      <c r="CD66" s="2">
        <v>50</v>
      </c>
      <c r="CE66" s="2">
        <v>20</v>
      </c>
      <c r="CF66" s="2">
        <v>23</v>
      </c>
      <c r="CG66" s="2">
        <v>3</v>
      </c>
      <c r="CH66" s="2">
        <v>0</v>
      </c>
      <c r="CI66" s="2">
        <v>0</v>
      </c>
      <c r="CJ66" s="2">
        <v>28</v>
      </c>
      <c r="CK66" s="2">
        <v>23</v>
      </c>
      <c r="CL66" s="2">
        <v>2</v>
      </c>
      <c r="CM66" s="2">
        <v>0</v>
      </c>
      <c r="CN66" s="2">
        <v>0</v>
      </c>
      <c r="CP66" s="2"/>
      <c r="CR66" s="124">
        <v>44589</v>
      </c>
      <c r="CS66" s="2">
        <v>111</v>
      </c>
    </row>
    <row r="67" spans="29:97" x14ac:dyDescent="0.35">
      <c r="AC67" s="19" t="s">
        <v>116</v>
      </c>
      <c r="AD67" s="2">
        <v>0</v>
      </c>
      <c r="AE67" s="2">
        <v>0</v>
      </c>
      <c r="AF67" s="2">
        <v>0</v>
      </c>
      <c r="AG67" s="2">
        <v>0</v>
      </c>
      <c r="AH67" s="2">
        <v>0</v>
      </c>
      <c r="AI67" s="2">
        <v>0</v>
      </c>
      <c r="AJ67" s="2">
        <v>0</v>
      </c>
      <c r="AK67" s="2">
        <v>0</v>
      </c>
      <c r="AL67" s="2">
        <v>0</v>
      </c>
      <c r="AM67" s="2">
        <v>0</v>
      </c>
      <c r="AN67" s="2">
        <v>0</v>
      </c>
      <c r="AO67" s="2">
        <v>0</v>
      </c>
      <c r="AP67" s="2">
        <v>0</v>
      </c>
      <c r="AS67" s="124">
        <v>44590</v>
      </c>
      <c r="AT67" s="2">
        <v>447</v>
      </c>
      <c r="BZ67" s="2"/>
      <c r="CA67" s="19" t="s">
        <v>116</v>
      </c>
      <c r="CB67" s="2">
        <v>0</v>
      </c>
      <c r="CC67" s="2">
        <v>0</v>
      </c>
      <c r="CD67" s="2">
        <v>0</v>
      </c>
      <c r="CE67" s="2">
        <v>0</v>
      </c>
      <c r="CF67" s="2">
        <v>0</v>
      </c>
      <c r="CG67" s="2">
        <v>0</v>
      </c>
      <c r="CH67" s="2">
        <v>0</v>
      </c>
      <c r="CI67" s="2">
        <v>0</v>
      </c>
      <c r="CJ67" s="2">
        <v>0</v>
      </c>
      <c r="CK67" s="2">
        <v>0</v>
      </c>
      <c r="CL67" s="2">
        <v>0</v>
      </c>
      <c r="CM67" s="2">
        <v>0</v>
      </c>
      <c r="CN67" s="2">
        <v>0</v>
      </c>
      <c r="CP67" s="2"/>
      <c r="CR67" s="124">
        <v>44590</v>
      </c>
      <c r="CS67" s="2">
        <v>126</v>
      </c>
    </row>
    <row r="68" spans="29:97" x14ac:dyDescent="0.35">
      <c r="AC68" s="19" t="s">
        <v>117</v>
      </c>
      <c r="AD68" s="2">
        <v>0</v>
      </c>
      <c r="AE68" s="2">
        <v>0</v>
      </c>
      <c r="AF68" s="2">
        <v>0</v>
      </c>
      <c r="AG68" s="2">
        <v>0</v>
      </c>
      <c r="AH68" s="2">
        <v>0</v>
      </c>
      <c r="AI68" s="2">
        <v>0</v>
      </c>
      <c r="AJ68" s="2">
        <v>0</v>
      </c>
      <c r="AK68" s="2">
        <v>0</v>
      </c>
      <c r="AL68" s="2">
        <v>0</v>
      </c>
      <c r="AM68" s="2">
        <v>0</v>
      </c>
      <c r="AN68" s="2">
        <v>0</v>
      </c>
      <c r="AO68" s="2">
        <v>0</v>
      </c>
      <c r="AP68" s="2">
        <v>0</v>
      </c>
      <c r="AS68" s="124">
        <v>44591</v>
      </c>
      <c r="AT68" s="2">
        <v>485</v>
      </c>
      <c r="BZ68" s="2"/>
      <c r="CA68" s="19" t="s">
        <v>117</v>
      </c>
      <c r="CB68" s="2">
        <v>0</v>
      </c>
      <c r="CC68" s="2">
        <v>0</v>
      </c>
      <c r="CD68" s="2">
        <v>0</v>
      </c>
      <c r="CE68" s="2">
        <v>0</v>
      </c>
      <c r="CF68" s="2">
        <v>0</v>
      </c>
      <c r="CG68" s="2">
        <v>0</v>
      </c>
      <c r="CH68" s="2">
        <v>0</v>
      </c>
      <c r="CI68" s="2">
        <v>0</v>
      </c>
      <c r="CJ68" s="2">
        <v>0</v>
      </c>
      <c r="CK68" s="2">
        <v>0</v>
      </c>
      <c r="CL68" s="2">
        <v>0</v>
      </c>
      <c r="CM68" s="2">
        <v>0</v>
      </c>
      <c r="CN68" s="2">
        <v>0</v>
      </c>
      <c r="CP68" s="2"/>
      <c r="CR68" s="124">
        <v>44591</v>
      </c>
      <c r="CS68" s="2">
        <v>139</v>
      </c>
    </row>
    <row r="69" spans="29:97" x14ac:dyDescent="0.35">
      <c r="AC69" s="19" t="s">
        <v>118</v>
      </c>
      <c r="AD69" s="2">
        <v>0</v>
      </c>
      <c r="AE69" s="2">
        <v>0</v>
      </c>
      <c r="AF69" s="2">
        <v>0</v>
      </c>
      <c r="AG69" s="2">
        <v>0</v>
      </c>
      <c r="AH69" s="2">
        <v>0</v>
      </c>
      <c r="AI69" s="2">
        <v>0</v>
      </c>
      <c r="AJ69" s="2">
        <v>0</v>
      </c>
      <c r="AK69" s="2">
        <v>0</v>
      </c>
      <c r="AL69" s="2">
        <v>0</v>
      </c>
      <c r="AM69" s="2">
        <v>0</v>
      </c>
      <c r="AN69" s="2">
        <v>0</v>
      </c>
      <c r="AO69" s="2">
        <v>0</v>
      </c>
      <c r="AP69" s="2">
        <v>0</v>
      </c>
      <c r="AS69" s="124">
        <v>44592</v>
      </c>
      <c r="AT69" s="2">
        <v>458</v>
      </c>
      <c r="BZ69" s="2"/>
      <c r="CA69" s="19" t="s">
        <v>118</v>
      </c>
      <c r="CB69" s="2">
        <v>0</v>
      </c>
      <c r="CC69" s="2">
        <v>0</v>
      </c>
      <c r="CD69" s="2">
        <v>0</v>
      </c>
      <c r="CE69" s="2">
        <v>0</v>
      </c>
      <c r="CF69" s="2">
        <v>0</v>
      </c>
      <c r="CG69" s="2">
        <v>0</v>
      </c>
      <c r="CH69" s="2">
        <v>0</v>
      </c>
      <c r="CI69" s="2">
        <v>0</v>
      </c>
      <c r="CJ69" s="2">
        <v>0</v>
      </c>
      <c r="CK69" s="2">
        <v>0</v>
      </c>
      <c r="CL69" s="2">
        <v>0</v>
      </c>
      <c r="CM69" s="2">
        <v>0</v>
      </c>
      <c r="CN69" s="2">
        <v>0</v>
      </c>
      <c r="CP69" s="2"/>
      <c r="CR69" s="124">
        <v>44592</v>
      </c>
      <c r="CS69" s="2">
        <v>107</v>
      </c>
    </row>
    <row r="70" spans="29:97" x14ac:dyDescent="0.35">
      <c r="AC70" s="19" t="s">
        <v>119</v>
      </c>
      <c r="AD70" s="2">
        <v>0</v>
      </c>
      <c r="AE70" s="2">
        <v>0</v>
      </c>
      <c r="AF70" s="2">
        <v>0</v>
      </c>
      <c r="AG70" s="2">
        <v>0</v>
      </c>
      <c r="AH70" s="2">
        <v>0</v>
      </c>
      <c r="AI70" s="2">
        <v>0</v>
      </c>
      <c r="AJ70" s="2">
        <v>0</v>
      </c>
      <c r="AK70" s="2">
        <v>0</v>
      </c>
      <c r="AL70" s="2">
        <v>0</v>
      </c>
      <c r="AM70" s="2">
        <v>0</v>
      </c>
      <c r="AN70" s="2">
        <v>0</v>
      </c>
      <c r="AO70" s="2">
        <v>0</v>
      </c>
      <c r="AP70" s="2">
        <v>0</v>
      </c>
      <c r="AS70" s="124">
        <v>44593</v>
      </c>
      <c r="AT70" s="2">
        <v>397</v>
      </c>
      <c r="BZ70" s="2"/>
      <c r="CA70" s="19" t="s">
        <v>119</v>
      </c>
      <c r="CB70" s="2">
        <v>0</v>
      </c>
      <c r="CC70" s="2">
        <v>0</v>
      </c>
      <c r="CD70" s="2">
        <v>0</v>
      </c>
      <c r="CE70" s="2">
        <v>0</v>
      </c>
      <c r="CF70" s="2">
        <v>0</v>
      </c>
      <c r="CG70" s="2">
        <v>0</v>
      </c>
      <c r="CH70" s="2">
        <v>0</v>
      </c>
      <c r="CI70" s="2">
        <v>0</v>
      </c>
      <c r="CJ70" s="2">
        <v>0</v>
      </c>
      <c r="CK70" s="2">
        <v>0</v>
      </c>
      <c r="CL70" s="2">
        <v>0</v>
      </c>
      <c r="CM70" s="2">
        <v>0</v>
      </c>
      <c r="CN70" s="2">
        <v>0</v>
      </c>
      <c r="CP70" s="2"/>
      <c r="CR70" s="124">
        <v>44593</v>
      </c>
      <c r="CS70" s="2">
        <v>101</v>
      </c>
    </row>
    <row r="71" spans="29:97" x14ac:dyDescent="0.35">
      <c r="AC71" s="19" t="s">
        <v>335</v>
      </c>
      <c r="AD71" s="2">
        <v>0</v>
      </c>
      <c r="AE71" s="2">
        <v>0</v>
      </c>
      <c r="AF71" s="2">
        <v>0</v>
      </c>
      <c r="AG71" s="2">
        <v>0</v>
      </c>
      <c r="AH71" s="2">
        <v>0</v>
      </c>
      <c r="AI71" s="2">
        <v>0</v>
      </c>
      <c r="AJ71" s="2">
        <v>0</v>
      </c>
      <c r="AK71" s="2">
        <v>0</v>
      </c>
      <c r="AL71" s="2">
        <v>0</v>
      </c>
      <c r="AM71" s="2">
        <v>0</v>
      </c>
      <c r="AN71" s="2">
        <v>0</v>
      </c>
      <c r="AO71" s="2">
        <v>0</v>
      </c>
      <c r="AP71" s="2">
        <v>0</v>
      </c>
      <c r="AS71" s="124">
        <v>44594</v>
      </c>
      <c r="AT71" s="2">
        <v>426</v>
      </c>
      <c r="BZ71" s="2"/>
      <c r="CA71" s="19" t="s">
        <v>335</v>
      </c>
      <c r="CB71" s="2">
        <v>0</v>
      </c>
      <c r="CC71" s="2">
        <v>0</v>
      </c>
      <c r="CD71" s="2">
        <v>0</v>
      </c>
      <c r="CE71" s="2">
        <v>0</v>
      </c>
      <c r="CF71" s="2">
        <v>0</v>
      </c>
      <c r="CG71" s="2">
        <v>0</v>
      </c>
      <c r="CH71" s="2">
        <v>0</v>
      </c>
      <c r="CI71" s="2">
        <v>0</v>
      </c>
      <c r="CJ71" s="2">
        <v>0</v>
      </c>
      <c r="CK71" s="2">
        <v>0</v>
      </c>
      <c r="CL71" s="2">
        <v>0</v>
      </c>
      <c r="CM71" s="2">
        <v>0</v>
      </c>
      <c r="CN71" s="2">
        <v>0</v>
      </c>
      <c r="CP71" s="2"/>
      <c r="CR71" s="124">
        <v>44594</v>
      </c>
      <c r="CS71" s="2">
        <v>100</v>
      </c>
    </row>
    <row r="72" spans="29:97" x14ac:dyDescent="0.35">
      <c r="AC72" s="19" t="s">
        <v>120</v>
      </c>
      <c r="AD72" s="2">
        <v>0</v>
      </c>
      <c r="AE72" s="2">
        <v>0</v>
      </c>
      <c r="AF72" s="2">
        <v>0</v>
      </c>
      <c r="AG72" s="2">
        <v>0</v>
      </c>
      <c r="AH72" s="2">
        <v>0</v>
      </c>
      <c r="AI72" s="2">
        <v>0</v>
      </c>
      <c r="AJ72" s="2">
        <v>0</v>
      </c>
      <c r="AK72" s="2">
        <v>0</v>
      </c>
      <c r="AL72" s="2">
        <v>0</v>
      </c>
      <c r="AM72" s="2">
        <v>0</v>
      </c>
      <c r="AN72" s="2">
        <v>0</v>
      </c>
      <c r="AO72" s="2">
        <v>15</v>
      </c>
      <c r="AP72" s="2">
        <v>20</v>
      </c>
      <c r="AS72" s="124">
        <v>44595</v>
      </c>
      <c r="AT72" s="2">
        <v>379</v>
      </c>
      <c r="BZ72" s="2"/>
      <c r="CA72" s="19" t="s">
        <v>120</v>
      </c>
      <c r="CB72" s="2">
        <v>0</v>
      </c>
      <c r="CC72" s="2">
        <v>0</v>
      </c>
      <c r="CD72" s="2">
        <v>0</v>
      </c>
      <c r="CE72" s="2">
        <v>0</v>
      </c>
      <c r="CF72" s="2">
        <v>0</v>
      </c>
      <c r="CG72" s="2">
        <v>0</v>
      </c>
      <c r="CH72" s="2">
        <v>0</v>
      </c>
      <c r="CI72" s="2">
        <v>0</v>
      </c>
      <c r="CJ72" s="2">
        <v>0</v>
      </c>
      <c r="CK72" s="2">
        <v>0</v>
      </c>
      <c r="CL72" s="2">
        <v>0</v>
      </c>
      <c r="CM72" s="2">
        <v>15</v>
      </c>
      <c r="CN72" s="2">
        <v>20</v>
      </c>
      <c r="CP72" s="2"/>
      <c r="CR72" s="124">
        <v>44595</v>
      </c>
      <c r="CS72" s="2">
        <v>74</v>
      </c>
    </row>
    <row r="73" spans="29:97" x14ac:dyDescent="0.35">
      <c r="AC73" s="19" t="s">
        <v>121</v>
      </c>
      <c r="AD73" s="2">
        <v>0</v>
      </c>
      <c r="AE73" s="2">
        <v>0</v>
      </c>
      <c r="AF73" s="2">
        <v>0</v>
      </c>
      <c r="AG73" s="2">
        <v>0</v>
      </c>
      <c r="AH73" s="2">
        <v>0</v>
      </c>
      <c r="AI73" s="2">
        <v>0</v>
      </c>
      <c r="AJ73" s="2">
        <v>0</v>
      </c>
      <c r="AK73" s="2">
        <v>0</v>
      </c>
      <c r="AL73" s="2">
        <v>4</v>
      </c>
      <c r="AM73" s="2">
        <v>0</v>
      </c>
      <c r="AN73" s="2">
        <v>1</v>
      </c>
      <c r="AO73" s="2">
        <v>0</v>
      </c>
      <c r="AP73" s="2">
        <v>0</v>
      </c>
      <c r="AS73" s="124">
        <v>44596</v>
      </c>
      <c r="AT73" s="2">
        <v>354</v>
      </c>
      <c r="BZ73" s="2"/>
      <c r="CA73" s="19" t="s">
        <v>121</v>
      </c>
      <c r="CB73" s="2">
        <v>0</v>
      </c>
      <c r="CC73" s="2">
        <v>0</v>
      </c>
      <c r="CD73" s="2">
        <v>0</v>
      </c>
      <c r="CE73" s="2">
        <v>0</v>
      </c>
      <c r="CF73" s="2">
        <v>0</v>
      </c>
      <c r="CG73" s="2">
        <v>0</v>
      </c>
      <c r="CH73" s="2">
        <v>0</v>
      </c>
      <c r="CI73" s="2">
        <v>0</v>
      </c>
      <c r="CJ73" s="2">
        <v>4</v>
      </c>
      <c r="CK73" s="2">
        <v>0</v>
      </c>
      <c r="CL73" s="2">
        <v>1</v>
      </c>
      <c r="CM73" s="2">
        <v>0</v>
      </c>
      <c r="CN73" s="2">
        <v>0</v>
      </c>
      <c r="CP73" s="2"/>
      <c r="CR73" s="124">
        <v>44596</v>
      </c>
      <c r="CS73" s="2">
        <v>68</v>
      </c>
    </row>
    <row r="74" spans="29:97" x14ac:dyDescent="0.35">
      <c r="AC74" s="19" t="s">
        <v>122</v>
      </c>
      <c r="AD74" s="2">
        <v>0</v>
      </c>
      <c r="AE74" s="2">
        <v>0</v>
      </c>
      <c r="AF74" s="2">
        <v>0</v>
      </c>
      <c r="AG74" s="2">
        <v>0</v>
      </c>
      <c r="AH74" s="2">
        <v>0</v>
      </c>
      <c r="AI74" s="2">
        <v>0</v>
      </c>
      <c r="AJ74" s="2">
        <v>0</v>
      </c>
      <c r="AK74" s="2">
        <v>0</v>
      </c>
      <c r="AL74" s="2">
        <v>0</v>
      </c>
      <c r="AM74" s="2">
        <v>0</v>
      </c>
      <c r="AN74" s="2">
        <v>0</v>
      </c>
      <c r="AO74" s="2">
        <v>0</v>
      </c>
      <c r="AP74" s="2">
        <v>0</v>
      </c>
      <c r="AS74" s="124">
        <v>44597</v>
      </c>
      <c r="AT74" s="2">
        <v>324</v>
      </c>
      <c r="BZ74" s="2"/>
      <c r="CA74" s="19" t="s">
        <v>122</v>
      </c>
      <c r="CB74" s="2">
        <v>0</v>
      </c>
      <c r="CC74" s="2">
        <v>0</v>
      </c>
      <c r="CD74" s="2">
        <v>0</v>
      </c>
      <c r="CE74" s="2">
        <v>0</v>
      </c>
      <c r="CF74" s="2">
        <v>0</v>
      </c>
      <c r="CG74" s="2">
        <v>0</v>
      </c>
      <c r="CH74" s="2">
        <v>0</v>
      </c>
      <c r="CI74" s="2">
        <v>0</v>
      </c>
      <c r="CJ74" s="2">
        <v>0</v>
      </c>
      <c r="CK74" s="2">
        <v>0</v>
      </c>
      <c r="CL74" s="2">
        <v>0</v>
      </c>
      <c r="CM74" s="2">
        <v>0</v>
      </c>
      <c r="CN74" s="2">
        <v>0</v>
      </c>
      <c r="CP74" s="2"/>
      <c r="CR74" s="124">
        <v>44597</v>
      </c>
      <c r="CS74" s="2">
        <v>52</v>
      </c>
    </row>
    <row r="75" spans="29:97" x14ac:dyDescent="0.35">
      <c r="AC75" s="19" t="s">
        <v>123</v>
      </c>
      <c r="AD75" s="2">
        <v>11</v>
      </c>
      <c r="AE75" s="2">
        <v>0</v>
      </c>
      <c r="AF75" s="2">
        <v>0</v>
      </c>
      <c r="AG75" s="2">
        <v>0</v>
      </c>
      <c r="AH75" s="2">
        <v>0</v>
      </c>
      <c r="AI75" s="2">
        <v>0</v>
      </c>
      <c r="AJ75" s="2">
        <v>0</v>
      </c>
      <c r="AK75" s="2">
        <v>56</v>
      </c>
      <c r="AL75" s="2">
        <v>710</v>
      </c>
      <c r="AM75" s="2">
        <v>763</v>
      </c>
      <c r="AN75" s="2">
        <v>592</v>
      </c>
      <c r="AO75" s="2">
        <v>338</v>
      </c>
      <c r="AP75" s="2">
        <v>178</v>
      </c>
      <c r="AS75" s="124">
        <v>44598</v>
      </c>
      <c r="AT75" s="2">
        <v>337</v>
      </c>
      <c r="BZ75" s="2"/>
      <c r="CA75" s="19" t="s">
        <v>123</v>
      </c>
      <c r="CB75" s="2">
        <v>5</v>
      </c>
      <c r="CC75" s="2">
        <v>0</v>
      </c>
      <c r="CD75" s="2">
        <v>0</v>
      </c>
      <c r="CE75" s="2">
        <v>0</v>
      </c>
      <c r="CF75" s="2">
        <v>0</v>
      </c>
      <c r="CG75" s="2">
        <v>0</v>
      </c>
      <c r="CH75" s="2">
        <v>0</v>
      </c>
      <c r="CI75" s="2">
        <v>3</v>
      </c>
      <c r="CJ75" s="2">
        <v>140</v>
      </c>
      <c r="CK75" s="2">
        <v>116</v>
      </c>
      <c r="CL75" s="2">
        <v>74</v>
      </c>
      <c r="CM75" s="2">
        <v>72</v>
      </c>
      <c r="CN75" s="2">
        <v>11</v>
      </c>
      <c r="CP75" s="2"/>
      <c r="CR75" s="124">
        <v>44598</v>
      </c>
      <c r="CS75" s="2">
        <v>55</v>
      </c>
    </row>
    <row r="76" spans="29:97" x14ac:dyDescent="0.35">
      <c r="AC76" s="19" t="s">
        <v>124</v>
      </c>
      <c r="AD76" s="2">
        <v>0</v>
      </c>
      <c r="AE76" s="2">
        <v>0</v>
      </c>
      <c r="AF76" s="2">
        <v>0</v>
      </c>
      <c r="AG76" s="2">
        <v>0</v>
      </c>
      <c r="AH76" s="2">
        <v>0</v>
      </c>
      <c r="AI76" s="2">
        <v>0</v>
      </c>
      <c r="AJ76" s="2">
        <v>0</v>
      </c>
      <c r="AK76" s="2">
        <v>0</v>
      </c>
      <c r="AL76" s="2">
        <v>0</v>
      </c>
      <c r="AM76" s="2">
        <v>0</v>
      </c>
      <c r="AN76" s="2">
        <v>0</v>
      </c>
      <c r="AO76" s="2">
        <v>0</v>
      </c>
      <c r="AP76" s="2">
        <v>0</v>
      </c>
      <c r="AS76" s="124">
        <v>44599</v>
      </c>
      <c r="AT76" s="2">
        <v>329</v>
      </c>
      <c r="BZ76" s="2"/>
      <c r="CA76" s="19" t="s">
        <v>124</v>
      </c>
      <c r="CB76" s="2">
        <v>0</v>
      </c>
      <c r="CC76" s="2">
        <v>0</v>
      </c>
      <c r="CD76" s="2">
        <v>0</v>
      </c>
      <c r="CE76" s="2">
        <v>0</v>
      </c>
      <c r="CF76" s="2">
        <v>0</v>
      </c>
      <c r="CG76" s="2">
        <v>0</v>
      </c>
      <c r="CH76" s="2">
        <v>0</v>
      </c>
      <c r="CI76" s="2">
        <v>0</v>
      </c>
      <c r="CJ76" s="2">
        <v>0</v>
      </c>
      <c r="CK76" s="2">
        <v>0</v>
      </c>
      <c r="CL76" s="2">
        <v>0</v>
      </c>
      <c r="CM76" s="2">
        <v>0</v>
      </c>
      <c r="CN76" s="2">
        <v>0</v>
      </c>
      <c r="CP76" s="2"/>
      <c r="CR76" s="124">
        <v>44599</v>
      </c>
      <c r="CS76" s="2">
        <v>46</v>
      </c>
    </row>
    <row r="77" spans="29:97" x14ac:dyDescent="0.35">
      <c r="AC77" s="19" t="s">
        <v>289</v>
      </c>
      <c r="AD77" s="2">
        <v>6</v>
      </c>
      <c r="AE77" s="2">
        <v>206</v>
      </c>
      <c r="AF77" s="2">
        <v>181</v>
      </c>
      <c r="AG77" s="2">
        <v>37</v>
      </c>
      <c r="AH77" s="2">
        <v>12</v>
      </c>
      <c r="AI77" s="2">
        <v>0</v>
      </c>
      <c r="AJ77" s="2">
        <v>0</v>
      </c>
      <c r="AK77" s="2">
        <v>0</v>
      </c>
      <c r="AL77" s="2">
        <v>0</v>
      </c>
      <c r="AM77" s="2">
        <v>0</v>
      </c>
      <c r="AN77" s="2">
        <v>0</v>
      </c>
      <c r="AO77" s="2">
        <v>0</v>
      </c>
      <c r="AP77" s="2">
        <v>4</v>
      </c>
      <c r="AS77" s="124">
        <v>44600</v>
      </c>
      <c r="AT77" s="2">
        <v>287</v>
      </c>
      <c r="BZ77" s="2"/>
      <c r="CA77" s="19" t="s">
        <v>289</v>
      </c>
      <c r="CB77" s="2">
        <v>0</v>
      </c>
      <c r="CC77" s="2">
        <v>75</v>
      </c>
      <c r="CD77" s="2">
        <v>76</v>
      </c>
      <c r="CE77" s="2">
        <v>18</v>
      </c>
      <c r="CF77" s="2">
        <v>0</v>
      </c>
      <c r="CG77" s="2">
        <v>0</v>
      </c>
      <c r="CH77" s="2">
        <v>0</v>
      </c>
      <c r="CI77" s="2">
        <v>0</v>
      </c>
      <c r="CJ77" s="2">
        <v>0</v>
      </c>
      <c r="CK77" s="2">
        <v>0</v>
      </c>
      <c r="CL77" s="2">
        <v>0</v>
      </c>
      <c r="CM77" s="2">
        <v>0</v>
      </c>
      <c r="CN77" s="2">
        <v>3</v>
      </c>
      <c r="CP77" s="2"/>
      <c r="CR77" s="124">
        <v>44600</v>
      </c>
      <c r="CS77" s="2">
        <v>44</v>
      </c>
    </row>
    <row r="78" spans="29:97" x14ac:dyDescent="0.35">
      <c r="AC78" s="19" t="s">
        <v>125</v>
      </c>
      <c r="AD78" s="2">
        <v>232</v>
      </c>
      <c r="AE78" s="2">
        <v>30</v>
      </c>
      <c r="AF78" s="2">
        <v>7</v>
      </c>
      <c r="AG78" s="2">
        <v>0</v>
      </c>
      <c r="AH78" s="2">
        <v>0</v>
      </c>
      <c r="AI78" s="2">
        <v>0</v>
      </c>
      <c r="AJ78" s="2">
        <v>0</v>
      </c>
      <c r="AK78" s="2">
        <v>0</v>
      </c>
      <c r="AL78" s="2">
        <v>0</v>
      </c>
      <c r="AM78" s="2">
        <v>0</v>
      </c>
      <c r="AN78" s="2">
        <v>0</v>
      </c>
      <c r="AO78" s="2">
        <v>0</v>
      </c>
      <c r="AP78" s="2">
        <v>0</v>
      </c>
      <c r="AS78" s="124">
        <v>44601</v>
      </c>
      <c r="AT78" s="2">
        <v>262</v>
      </c>
      <c r="BZ78" s="2"/>
      <c r="CA78" s="19" t="s">
        <v>125</v>
      </c>
      <c r="CB78" s="2">
        <v>73</v>
      </c>
      <c r="CC78" s="2">
        <v>6</v>
      </c>
      <c r="CD78" s="2">
        <v>6</v>
      </c>
      <c r="CE78" s="2">
        <v>0</v>
      </c>
      <c r="CF78" s="2">
        <v>0</v>
      </c>
      <c r="CG78" s="2">
        <v>0</v>
      </c>
      <c r="CH78" s="2">
        <v>0</v>
      </c>
      <c r="CI78" s="2">
        <v>0</v>
      </c>
      <c r="CJ78" s="2">
        <v>0</v>
      </c>
      <c r="CK78" s="2">
        <v>0</v>
      </c>
      <c r="CL78" s="2">
        <v>0</v>
      </c>
      <c r="CM78" s="2">
        <v>0</v>
      </c>
      <c r="CN78" s="2">
        <v>0</v>
      </c>
      <c r="CP78" s="2"/>
      <c r="CR78" s="124">
        <v>44601</v>
      </c>
      <c r="CS78" s="2">
        <v>41</v>
      </c>
    </row>
    <row r="79" spans="29:97" x14ac:dyDescent="0.35">
      <c r="AC79" s="19" t="s">
        <v>126</v>
      </c>
      <c r="AD79" s="2">
        <v>0</v>
      </c>
      <c r="AE79" s="2">
        <v>0</v>
      </c>
      <c r="AF79" s="2">
        <v>0</v>
      </c>
      <c r="AG79" s="2">
        <v>0</v>
      </c>
      <c r="AH79" s="2">
        <v>0</v>
      </c>
      <c r="AI79" s="2">
        <v>0</v>
      </c>
      <c r="AJ79" s="2">
        <v>7</v>
      </c>
      <c r="AK79" s="2">
        <v>6</v>
      </c>
      <c r="AL79" s="2">
        <v>10</v>
      </c>
      <c r="AM79" s="2">
        <v>0</v>
      </c>
      <c r="AN79" s="2">
        <v>0</v>
      </c>
      <c r="AO79" s="2">
        <v>0</v>
      </c>
      <c r="AP79" s="2">
        <v>0</v>
      </c>
      <c r="AS79" s="124">
        <v>44602</v>
      </c>
      <c r="AT79" s="2">
        <v>262</v>
      </c>
      <c r="BZ79" s="2"/>
      <c r="CA79" s="19" t="s">
        <v>126</v>
      </c>
      <c r="CB79" s="2">
        <v>0</v>
      </c>
      <c r="CC79" s="2">
        <v>0</v>
      </c>
      <c r="CD79" s="2">
        <v>0</v>
      </c>
      <c r="CE79" s="2">
        <v>0</v>
      </c>
      <c r="CF79" s="2">
        <v>0</v>
      </c>
      <c r="CG79" s="2">
        <v>0</v>
      </c>
      <c r="CH79" s="2">
        <v>0</v>
      </c>
      <c r="CI79" s="2">
        <v>0</v>
      </c>
      <c r="CJ79" s="2">
        <v>0</v>
      </c>
      <c r="CK79" s="2">
        <v>0</v>
      </c>
      <c r="CL79" s="2">
        <v>0</v>
      </c>
      <c r="CM79" s="2">
        <v>0</v>
      </c>
      <c r="CN79" s="2">
        <v>0</v>
      </c>
      <c r="CP79" s="2"/>
      <c r="CR79" s="124">
        <v>44602</v>
      </c>
      <c r="CS79" s="2">
        <v>51</v>
      </c>
    </row>
    <row r="80" spans="29:97" x14ac:dyDescent="0.35">
      <c r="AC80" s="19" t="s">
        <v>127</v>
      </c>
      <c r="AD80" s="2">
        <v>0</v>
      </c>
      <c r="AE80" s="2">
        <v>24</v>
      </c>
      <c r="AF80" s="2">
        <v>42</v>
      </c>
      <c r="AG80" s="2">
        <v>63</v>
      </c>
      <c r="AH80" s="2">
        <v>18</v>
      </c>
      <c r="AI80" s="2">
        <v>0</v>
      </c>
      <c r="AJ80" s="2">
        <v>0</v>
      </c>
      <c r="AK80" s="2">
        <v>0</v>
      </c>
      <c r="AL80" s="2">
        <v>0</v>
      </c>
      <c r="AM80" s="2">
        <v>0</v>
      </c>
      <c r="AN80" s="2">
        <v>0</v>
      </c>
      <c r="AO80" s="2">
        <v>0</v>
      </c>
      <c r="AP80" s="2">
        <v>0</v>
      </c>
      <c r="AS80" s="124">
        <v>44603</v>
      </c>
      <c r="AT80" s="2">
        <v>214</v>
      </c>
      <c r="BZ80" s="2"/>
      <c r="CA80" s="19" t="s">
        <v>127</v>
      </c>
      <c r="CB80" s="2">
        <v>0</v>
      </c>
      <c r="CC80" s="2">
        <v>24</v>
      </c>
      <c r="CD80" s="2">
        <v>42</v>
      </c>
      <c r="CE80" s="2">
        <v>63</v>
      </c>
      <c r="CF80" s="2">
        <v>18</v>
      </c>
      <c r="CG80" s="2">
        <v>0</v>
      </c>
      <c r="CH80" s="2">
        <v>0</v>
      </c>
      <c r="CI80" s="2">
        <v>0</v>
      </c>
      <c r="CJ80" s="2">
        <v>0</v>
      </c>
      <c r="CK80" s="2">
        <v>0</v>
      </c>
      <c r="CL80" s="2">
        <v>0</v>
      </c>
      <c r="CM80" s="2">
        <v>0</v>
      </c>
      <c r="CN80" s="2">
        <v>0</v>
      </c>
      <c r="CP80" s="2"/>
      <c r="CR80" s="124">
        <v>44603</v>
      </c>
      <c r="CS80" s="2">
        <v>63</v>
      </c>
    </row>
    <row r="81" spans="29:97" x14ac:dyDescent="0.35">
      <c r="AC81" s="19" t="s">
        <v>128</v>
      </c>
      <c r="AD81" s="2">
        <v>0</v>
      </c>
      <c r="AE81" s="2">
        <v>0</v>
      </c>
      <c r="AF81" s="2">
        <v>0</v>
      </c>
      <c r="AG81" s="2">
        <v>0</v>
      </c>
      <c r="AH81" s="2">
        <v>0</v>
      </c>
      <c r="AI81" s="2">
        <v>0</v>
      </c>
      <c r="AJ81" s="2">
        <v>0</v>
      </c>
      <c r="AK81" s="2">
        <v>0</v>
      </c>
      <c r="AL81" s="2">
        <v>0</v>
      </c>
      <c r="AM81" s="2">
        <v>0</v>
      </c>
      <c r="AN81" s="2">
        <v>0</v>
      </c>
      <c r="AO81" s="2">
        <v>0</v>
      </c>
      <c r="AP81" s="2">
        <v>0</v>
      </c>
      <c r="AS81" s="124">
        <v>44604</v>
      </c>
      <c r="AT81" s="2">
        <v>101</v>
      </c>
      <c r="BZ81" s="2"/>
      <c r="CA81" s="19" t="s">
        <v>128</v>
      </c>
      <c r="CB81" s="2">
        <v>0</v>
      </c>
      <c r="CC81" s="2">
        <v>0</v>
      </c>
      <c r="CD81" s="2">
        <v>0</v>
      </c>
      <c r="CE81" s="2">
        <v>0</v>
      </c>
      <c r="CF81" s="2">
        <v>0</v>
      </c>
      <c r="CG81" s="2">
        <v>0</v>
      </c>
      <c r="CH81" s="2">
        <v>0</v>
      </c>
      <c r="CI81" s="2">
        <v>0</v>
      </c>
      <c r="CJ81" s="2">
        <v>0</v>
      </c>
      <c r="CK81" s="2">
        <v>0</v>
      </c>
      <c r="CL81" s="2">
        <v>0</v>
      </c>
      <c r="CM81" s="2">
        <v>0</v>
      </c>
      <c r="CN81" s="2">
        <v>0</v>
      </c>
      <c r="CP81" s="2"/>
      <c r="CR81" s="124">
        <v>44604</v>
      </c>
      <c r="CS81" s="2">
        <v>32</v>
      </c>
    </row>
    <row r="82" spans="29:97" x14ac:dyDescent="0.35">
      <c r="AC82" s="19" t="s">
        <v>336</v>
      </c>
      <c r="AD82" s="2">
        <v>0</v>
      </c>
      <c r="AE82" s="2">
        <v>0</v>
      </c>
      <c r="AF82" s="2">
        <v>0</v>
      </c>
      <c r="AG82" s="2">
        <v>0</v>
      </c>
      <c r="AH82" s="2">
        <v>1</v>
      </c>
      <c r="AI82" s="2">
        <v>0</v>
      </c>
      <c r="AJ82" s="2">
        <v>0</v>
      </c>
      <c r="AK82" s="2">
        <v>0</v>
      </c>
      <c r="AL82" s="2">
        <v>0</v>
      </c>
      <c r="AM82" s="2">
        <v>0</v>
      </c>
      <c r="AN82" s="2">
        <v>0</v>
      </c>
      <c r="AO82" s="2">
        <v>144</v>
      </c>
      <c r="AP82" s="2">
        <v>24</v>
      </c>
      <c r="AS82" s="124">
        <v>44605</v>
      </c>
      <c r="AT82" s="2">
        <v>130</v>
      </c>
      <c r="BZ82" s="2"/>
      <c r="CA82" s="19" t="s">
        <v>336</v>
      </c>
      <c r="CB82" s="2">
        <v>0</v>
      </c>
      <c r="CC82" s="2">
        <v>0</v>
      </c>
      <c r="CD82" s="2">
        <v>0</v>
      </c>
      <c r="CE82" s="2">
        <v>0</v>
      </c>
      <c r="CF82" s="2">
        <v>0</v>
      </c>
      <c r="CG82" s="2">
        <v>0</v>
      </c>
      <c r="CH82" s="2">
        <v>0</v>
      </c>
      <c r="CI82" s="2">
        <v>0</v>
      </c>
      <c r="CJ82" s="2">
        <v>0</v>
      </c>
      <c r="CK82" s="2">
        <v>0</v>
      </c>
      <c r="CL82" s="2">
        <v>0</v>
      </c>
      <c r="CM82" s="2">
        <v>28</v>
      </c>
      <c r="CN82" s="2">
        <v>6</v>
      </c>
      <c r="CP82" s="2"/>
      <c r="CR82" s="124">
        <v>44605</v>
      </c>
      <c r="CS82" s="2">
        <v>36</v>
      </c>
    </row>
    <row r="83" spans="29:97" x14ac:dyDescent="0.35">
      <c r="AC83" s="19" t="s">
        <v>129</v>
      </c>
      <c r="AD83" s="2">
        <v>25</v>
      </c>
      <c r="AE83" s="2">
        <v>19</v>
      </c>
      <c r="AF83" s="2">
        <v>7</v>
      </c>
      <c r="AG83" s="2">
        <v>24</v>
      </c>
      <c r="AH83" s="2">
        <v>31</v>
      </c>
      <c r="AI83" s="2">
        <v>4</v>
      </c>
      <c r="AJ83" s="2">
        <v>1</v>
      </c>
      <c r="AK83" s="2">
        <v>20</v>
      </c>
      <c r="AL83" s="2">
        <v>69</v>
      </c>
      <c r="AM83" s="2">
        <v>24</v>
      </c>
      <c r="AN83" s="2">
        <v>9</v>
      </c>
      <c r="AO83" s="2">
        <v>28</v>
      </c>
      <c r="AP83" s="2">
        <v>14</v>
      </c>
      <c r="AS83" s="124">
        <v>44606</v>
      </c>
      <c r="AT83" s="2">
        <v>170</v>
      </c>
      <c r="BZ83" s="2"/>
      <c r="CA83" s="19" t="s">
        <v>129</v>
      </c>
      <c r="CB83" s="2">
        <v>10</v>
      </c>
      <c r="CC83" s="2">
        <v>0</v>
      </c>
      <c r="CD83" s="2">
        <v>0</v>
      </c>
      <c r="CE83" s="2">
        <v>6</v>
      </c>
      <c r="CF83" s="2">
        <v>2</v>
      </c>
      <c r="CG83" s="2">
        <v>0</v>
      </c>
      <c r="CH83" s="2">
        <v>0</v>
      </c>
      <c r="CI83" s="2">
        <v>3</v>
      </c>
      <c r="CJ83" s="2">
        <v>6</v>
      </c>
      <c r="CK83" s="2">
        <v>2</v>
      </c>
      <c r="CL83" s="2">
        <v>1</v>
      </c>
      <c r="CM83" s="2">
        <v>3</v>
      </c>
      <c r="CN83" s="2">
        <v>0</v>
      </c>
      <c r="CP83" s="2"/>
      <c r="CR83" s="124">
        <v>44606</v>
      </c>
      <c r="CS83" s="2">
        <v>35</v>
      </c>
    </row>
    <row r="84" spans="29:97" x14ac:dyDescent="0.35">
      <c r="AC84" s="19" t="s">
        <v>130</v>
      </c>
      <c r="AD84" s="2">
        <v>27</v>
      </c>
      <c r="AE84" s="2">
        <v>43</v>
      </c>
      <c r="AF84" s="2">
        <v>16</v>
      </c>
      <c r="AG84" s="2">
        <v>0</v>
      </c>
      <c r="AH84" s="2">
        <v>9</v>
      </c>
      <c r="AI84" s="2">
        <v>0</v>
      </c>
      <c r="AJ84" s="2">
        <v>6</v>
      </c>
      <c r="AK84" s="2">
        <v>0</v>
      </c>
      <c r="AL84" s="2">
        <v>6</v>
      </c>
      <c r="AM84" s="2">
        <v>4</v>
      </c>
      <c r="AN84" s="2">
        <v>2</v>
      </c>
      <c r="AO84" s="2">
        <v>0</v>
      </c>
      <c r="AP84" s="2">
        <v>32</v>
      </c>
      <c r="AS84" s="124">
        <v>44607</v>
      </c>
      <c r="AT84" s="2">
        <v>216</v>
      </c>
      <c r="BZ84" s="2"/>
      <c r="CA84" s="19" t="s">
        <v>130</v>
      </c>
      <c r="CB84" s="2">
        <v>3</v>
      </c>
      <c r="CC84" s="2">
        <v>5</v>
      </c>
      <c r="CD84" s="2">
        <v>4</v>
      </c>
      <c r="CE84" s="2">
        <v>0</v>
      </c>
      <c r="CF84" s="2">
        <v>7</v>
      </c>
      <c r="CG84" s="2">
        <v>0</v>
      </c>
      <c r="CH84" s="2">
        <v>0</v>
      </c>
      <c r="CI84" s="2">
        <v>0</v>
      </c>
      <c r="CJ84" s="2">
        <v>1</v>
      </c>
      <c r="CK84" s="2">
        <v>1</v>
      </c>
      <c r="CL84" s="2">
        <v>1</v>
      </c>
      <c r="CM84" s="2">
        <v>0</v>
      </c>
      <c r="CN84" s="2">
        <v>7</v>
      </c>
      <c r="CP84" s="2"/>
      <c r="CR84" s="124">
        <v>44607</v>
      </c>
      <c r="CS84" s="2">
        <v>46</v>
      </c>
    </row>
    <row r="85" spans="29:97" x14ac:dyDescent="0.35">
      <c r="AC85" s="19" t="s">
        <v>131</v>
      </c>
      <c r="AD85" s="2">
        <v>0</v>
      </c>
      <c r="AE85" s="2">
        <v>0</v>
      </c>
      <c r="AF85" s="2">
        <v>0</v>
      </c>
      <c r="AG85" s="2">
        <v>0</v>
      </c>
      <c r="AH85" s="2">
        <v>0</v>
      </c>
      <c r="AI85" s="2">
        <v>0</v>
      </c>
      <c r="AJ85" s="2">
        <v>0</v>
      </c>
      <c r="AK85" s="2">
        <v>0</v>
      </c>
      <c r="AL85" s="2">
        <v>0</v>
      </c>
      <c r="AM85" s="2">
        <v>0</v>
      </c>
      <c r="AN85" s="2">
        <v>0</v>
      </c>
      <c r="AO85" s="2">
        <v>0</v>
      </c>
      <c r="AP85" s="2">
        <v>0</v>
      </c>
      <c r="AS85" s="124">
        <v>44608</v>
      </c>
      <c r="AT85" s="2">
        <v>211</v>
      </c>
      <c r="BZ85" s="2"/>
      <c r="CA85" s="19" t="s">
        <v>131</v>
      </c>
      <c r="CB85" s="2">
        <v>0</v>
      </c>
      <c r="CC85" s="2">
        <v>0</v>
      </c>
      <c r="CD85" s="2">
        <v>0</v>
      </c>
      <c r="CE85" s="2">
        <v>0</v>
      </c>
      <c r="CF85" s="2">
        <v>0</v>
      </c>
      <c r="CG85" s="2">
        <v>0</v>
      </c>
      <c r="CH85" s="2">
        <v>0</v>
      </c>
      <c r="CI85" s="2">
        <v>0</v>
      </c>
      <c r="CJ85" s="2">
        <v>0</v>
      </c>
      <c r="CK85" s="2">
        <v>0</v>
      </c>
      <c r="CL85" s="2">
        <v>0</v>
      </c>
      <c r="CM85" s="2">
        <v>0</v>
      </c>
      <c r="CN85" s="2">
        <v>0</v>
      </c>
      <c r="CP85" s="2"/>
      <c r="CR85" s="124">
        <v>44608</v>
      </c>
      <c r="CS85" s="2">
        <v>31</v>
      </c>
    </row>
    <row r="86" spans="29:97" x14ac:dyDescent="0.35">
      <c r="AC86" s="19" t="s">
        <v>132</v>
      </c>
      <c r="AD86" s="2">
        <v>0</v>
      </c>
      <c r="AE86" s="2">
        <v>0</v>
      </c>
      <c r="AF86" s="2">
        <v>0</v>
      </c>
      <c r="AG86" s="2">
        <v>0</v>
      </c>
      <c r="AH86" s="2">
        <v>0</v>
      </c>
      <c r="AI86" s="2">
        <v>0</v>
      </c>
      <c r="AJ86" s="2">
        <v>0</v>
      </c>
      <c r="AK86" s="2">
        <v>0</v>
      </c>
      <c r="AL86" s="2">
        <v>0</v>
      </c>
      <c r="AM86" s="2">
        <v>0</v>
      </c>
      <c r="AN86" s="2">
        <v>0</v>
      </c>
      <c r="AO86" s="2">
        <v>0</v>
      </c>
      <c r="AP86" s="2">
        <v>0</v>
      </c>
      <c r="AS86" s="124">
        <v>44609</v>
      </c>
      <c r="AT86" s="2">
        <v>210</v>
      </c>
      <c r="BZ86" s="2"/>
      <c r="CA86" s="19" t="s">
        <v>132</v>
      </c>
      <c r="CB86" s="2">
        <v>0</v>
      </c>
      <c r="CC86" s="2">
        <v>0</v>
      </c>
      <c r="CD86" s="2">
        <v>0</v>
      </c>
      <c r="CE86" s="2">
        <v>0</v>
      </c>
      <c r="CF86" s="2">
        <v>0</v>
      </c>
      <c r="CG86" s="2">
        <v>0</v>
      </c>
      <c r="CH86" s="2">
        <v>0</v>
      </c>
      <c r="CI86" s="2">
        <v>0</v>
      </c>
      <c r="CJ86" s="2">
        <v>0</v>
      </c>
      <c r="CK86" s="2">
        <v>0</v>
      </c>
      <c r="CL86" s="2">
        <v>0</v>
      </c>
      <c r="CM86" s="2">
        <v>0</v>
      </c>
      <c r="CN86" s="2">
        <v>0</v>
      </c>
      <c r="CP86" s="2"/>
      <c r="CR86" s="124">
        <v>44609</v>
      </c>
      <c r="CS86" s="2">
        <v>35</v>
      </c>
    </row>
    <row r="87" spans="29:97" x14ac:dyDescent="0.35">
      <c r="AC87" s="19" t="s">
        <v>133</v>
      </c>
      <c r="AD87" s="2">
        <v>38</v>
      </c>
      <c r="AE87" s="2">
        <v>183</v>
      </c>
      <c r="AF87" s="2">
        <v>374</v>
      </c>
      <c r="AG87" s="2">
        <v>400</v>
      </c>
      <c r="AH87" s="2">
        <v>176</v>
      </c>
      <c r="AI87" s="2">
        <v>81</v>
      </c>
      <c r="AJ87" s="2">
        <v>55</v>
      </c>
      <c r="AK87" s="2">
        <v>162</v>
      </c>
      <c r="AL87" s="2">
        <v>70</v>
      </c>
      <c r="AM87" s="2">
        <v>78</v>
      </c>
      <c r="AN87" s="2">
        <v>26</v>
      </c>
      <c r="AO87" s="2">
        <v>40</v>
      </c>
      <c r="AP87" s="2">
        <v>115</v>
      </c>
      <c r="AS87" s="124">
        <v>44610</v>
      </c>
      <c r="AT87" s="2">
        <v>224</v>
      </c>
      <c r="BZ87" s="2"/>
      <c r="CA87" s="19" t="s">
        <v>133</v>
      </c>
      <c r="CB87" s="2">
        <v>25</v>
      </c>
      <c r="CC87" s="2">
        <v>27</v>
      </c>
      <c r="CD87" s="2">
        <v>124</v>
      </c>
      <c r="CE87" s="2">
        <v>125</v>
      </c>
      <c r="CF87" s="2">
        <v>54</v>
      </c>
      <c r="CG87" s="2">
        <v>13</v>
      </c>
      <c r="CH87" s="2">
        <v>12</v>
      </c>
      <c r="CI87" s="2">
        <v>15</v>
      </c>
      <c r="CJ87" s="2">
        <v>15</v>
      </c>
      <c r="CK87" s="2">
        <v>20</v>
      </c>
      <c r="CL87" s="2">
        <v>8</v>
      </c>
      <c r="CM87" s="2">
        <v>7</v>
      </c>
      <c r="CN87" s="2">
        <v>20</v>
      </c>
      <c r="CP87" s="2"/>
      <c r="CR87" s="124">
        <v>44610</v>
      </c>
      <c r="CS87" s="2">
        <v>45</v>
      </c>
    </row>
    <row r="88" spans="29:97" x14ac:dyDescent="0.35">
      <c r="AC88" s="19" t="s">
        <v>134</v>
      </c>
      <c r="AD88" s="2">
        <v>0</v>
      </c>
      <c r="AE88" s="2">
        <v>0</v>
      </c>
      <c r="AF88" s="2">
        <v>0</v>
      </c>
      <c r="AG88" s="2">
        <v>0</v>
      </c>
      <c r="AH88" s="2">
        <v>0</v>
      </c>
      <c r="AI88" s="2">
        <v>0</v>
      </c>
      <c r="AJ88" s="2">
        <v>0</v>
      </c>
      <c r="AK88" s="2">
        <v>0</v>
      </c>
      <c r="AL88" s="2">
        <v>0</v>
      </c>
      <c r="AM88" s="2">
        <v>0</v>
      </c>
      <c r="AN88" s="2">
        <v>0</v>
      </c>
      <c r="AO88" s="2">
        <v>0</v>
      </c>
      <c r="AP88" s="2">
        <v>0</v>
      </c>
      <c r="AS88" s="124">
        <v>44611</v>
      </c>
      <c r="AT88" s="2">
        <v>212</v>
      </c>
      <c r="BZ88" s="2"/>
      <c r="CA88" s="19" t="s">
        <v>134</v>
      </c>
      <c r="CB88" s="2">
        <v>0</v>
      </c>
      <c r="CC88" s="2">
        <v>0</v>
      </c>
      <c r="CD88" s="2">
        <v>0</v>
      </c>
      <c r="CE88" s="2">
        <v>0</v>
      </c>
      <c r="CF88" s="2">
        <v>0</v>
      </c>
      <c r="CG88" s="2">
        <v>0</v>
      </c>
      <c r="CH88" s="2">
        <v>0</v>
      </c>
      <c r="CI88" s="2">
        <v>0</v>
      </c>
      <c r="CJ88" s="2">
        <v>0</v>
      </c>
      <c r="CK88" s="2">
        <v>0</v>
      </c>
      <c r="CL88" s="2">
        <v>0</v>
      </c>
      <c r="CM88" s="2">
        <v>0</v>
      </c>
      <c r="CN88" s="2">
        <v>0</v>
      </c>
      <c r="CP88" s="2"/>
      <c r="CR88" s="124">
        <v>44611</v>
      </c>
      <c r="CS88" s="2">
        <v>32</v>
      </c>
    </row>
    <row r="89" spans="29:97" x14ac:dyDescent="0.35">
      <c r="AC89" s="19" t="s">
        <v>135</v>
      </c>
      <c r="AD89" s="2">
        <v>0</v>
      </c>
      <c r="AE89" s="2">
        <v>0</v>
      </c>
      <c r="AF89" s="2">
        <v>0</v>
      </c>
      <c r="AG89" s="2">
        <v>0</v>
      </c>
      <c r="AH89" s="2">
        <v>0</v>
      </c>
      <c r="AI89" s="2">
        <v>0</v>
      </c>
      <c r="AJ89" s="2">
        <v>0</v>
      </c>
      <c r="AK89" s="2">
        <v>0</v>
      </c>
      <c r="AL89" s="2">
        <v>0</v>
      </c>
      <c r="AM89" s="2">
        <v>0</v>
      </c>
      <c r="AN89" s="2">
        <v>0</v>
      </c>
      <c r="AO89" s="2">
        <v>0</v>
      </c>
      <c r="AP89" s="2">
        <v>0</v>
      </c>
      <c r="AS89" s="124">
        <v>44612</v>
      </c>
      <c r="AT89" s="2">
        <v>179</v>
      </c>
      <c r="BZ89" s="2"/>
      <c r="CA89" s="19" t="s">
        <v>135</v>
      </c>
      <c r="CB89" s="2">
        <v>0</v>
      </c>
      <c r="CC89" s="2">
        <v>0</v>
      </c>
      <c r="CD89" s="2">
        <v>0</v>
      </c>
      <c r="CE89" s="2">
        <v>0</v>
      </c>
      <c r="CF89" s="2">
        <v>0</v>
      </c>
      <c r="CG89" s="2">
        <v>0</v>
      </c>
      <c r="CH89" s="2">
        <v>0</v>
      </c>
      <c r="CI89" s="2">
        <v>0</v>
      </c>
      <c r="CJ89" s="2">
        <v>0</v>
      </c>
      <c r="CK89" s="2">
        <v>0</v>
      </c>
      <c r="CL89" s="2">
        <v>0</v>
      </c>
      <c r="CM89" s="2">
        <v>0</v>
      </c>
      <c r="CN89" s="2">
        <v>0</v>
      </c>
      <c r="CP89" s="2"/>
      <c r="CR89" s="124">
        <v>44612</v>
      </c>
      <c r="CS89" s="2">
        <v>42</v>
      </c>
    </row>
    <row r="90" spans="29:97" x14ac:dyDescent="0.35">
      <c r="AC90" s="19" t="s">
        <v>291</v>
      </c>
      <c r="AD90" s="2">
        <v>0</v>
      </c>
      <c r="AE90" s="2">
        <v>0</v>
      </c>
      <c r="AF90" s="2">
        <v>0</v>
      </c>
      <c r="AG90" s="2">
        <v>0</v>
      </c>
      <c r="AH90" s="2">
        <v>0</v>
      </c>
      <c r="AI90" s="2">
        <v>0</v>
      </c>
      <c r="AJ90" s="2">
        <v>0</v>
      </c>
      <c r="AK90" s="2">
        <v>0</v>
      </c>
      <c r="AL90" s="2">
        <v>0</v>
      </c>
      <c r="AM90" s="2">
        <v>0</v>
      </c>
      <c r="AN90" s="2">
        <v>0</v>
      </c>
      <c r="AO90" s="2">
        <v>12</v>
      </c>
      <c r="AP90" s="2">
        <v>320</v>
      </c>
      <c r="AS90" s="124">
        <v>44613</v>
      </c>
      <c r="AT90" s="2">
        <v>197</v>
      </c>
      <c r="BZ90" s="2"/>
      <c r="CA90" s="19" t="s">
        <v>291</v>
      </c>
      <c r="CB90" s="2">
        <v>0</v>
      </c>
      <c r="CC90" s="2">
        <v>0</v>
      </c>
      <c r="CD90" s="2">
        <v>0</v>
      </c>
      <c r="CE90" s="2">
        <v>0</v>
      </c>
      <c r="CF90" s="2">
        <v>0</v>
      </c>
      <c r="CG90" s="2">
        <v>0</v>
      </c>
      <c r="CH90" s="2">
        <v>0</v>
      </c>
      <c r="CI90" s="2">
        <v>0</v>
      </c>
      <c r="CJ90" s="2">
        <v>0</v>
      </c>
      <c r="CK90" s="2">
        <v>0</v>
      </c>
      <c r="CL90" s="2">
        <v>0</v>
      </c>
      <c r="CM90" s="2">
        <v>1</v>
      </c>
      <c r="CN90" s="2">
        <v>50</v>
      </c>
      <c r="CP90" s="2"/>
      <c r="CR90" s="124">
        <v>44613</v>
      </c>
      <c r="CS90" s="2">
        <v>34</v>
      </c>
    </row>
    <row r="91" spans="29:97" x14ac:dyDescent="0.35">
      <c r="AC91" s="19" t="s">
        <v>136</v>
      </c>
      <c r="AD91" s="2">
        <v>0</v>
      </c>
      <c r="AE91" s="2">
        <v>0</v>
      </c>
      <c r="AF91" s="2">
        <v>0</v>
      </c>
      <c r="AG91" s="2">
        <v>0</v>
      </c>
      <c r="AH91" s="2">
        <v>0</v>
      </c>
      <c r="AI91" s="2">
        <v>0</v>
      </c>
      <c r="AJ91" s="2">
        <v>0</v>
      </c>
      <c r="AK91" s="2">
        <v>0</v>
      </c>
      <c r="AL91" s="2">
        <v>0</v>
      </c>
      <c r="AM91" s="2">
        <v>0</v>
      </c>
      <c r="AN91" s="2">
        <v>0</v>
      </c>
      <c r="AO91" s="2">
        <v>0</v>
      </c>
      <c r="AP91" s="2">
        <v>0</v>
      </c>
      <c r="AS91" s="124">
        <v>44614</v>
      </c>
      <c r="AT91" s="2">
        <v>204</v>
      </c>
      <c r="BZ91" s="2"/>
      <c r="CA91" s="19" t="s">
        <v>136</v>
      </c>
      <c r="CB91" s="2">
        <v>0</v>
      </c>
      <c r="CC91" s="2">
        <v>0</v>
      </c>
      <c r="CD91" s="2">
        <v>0</v>
      </c>
      <c r="CE91" s="2">
        <v>0</v>
      </c>
      <c r="CF91" s="2">
        <v>0</v>
      </c>
      <c r="CG91" s="2">
        <v>0</v>
      </c>
      <c r="CH91" s="2">
        <v>0</v>
      </c>
      <c r="CI91" s="2">
        <v>0</v>
      </c>
      <c r="CJ91" s="2">
        <v>0</v>
      </c>
      <c r="CK91" s="2">
        <v>0</v>
      </c>
      <c r="CL91" s="2">
        <v>0</v>
      </c>
      <c r="CM91" s="2">
        <v>0</v>
      </c>
      <c r="CN91" s="2">
        <v>0</v>
      </c>
      <c r="CP91" s="2"/>
      <c r="CR91" s="124">
        <v>44614</v>
      </c>
      <c r="CS91" s="2">
        <v>36</v>
      </c>
    </row>
    <row r="92" spans="29:97" x14ac:dyDescent="0.35">
      <c r="AC92" s="19" t="s">
        <v>281</v>
      </c>
      <c r="AD92" s="2">
        <v>0</v>
      </c>
      <c r="AE92" s="2">
        <v>18</v>
      </c>
      <c r="AF92" s="2">
        <v>43</v>
      </c>
      <c r="AG92" s="2">
        <v>12</v>
      </c>
      <c r="AH92" s="2">
        <v>0</v>
      </c>
      <c r="AI92" s="2">
        <v>6</v>
      </c>
      <c r="AJ92" s="2">
        <v>22</v>
      </c>
      <c r="AK92" s="2">
        <v>6</v>
      </c>
      <c r="AL92" s="2">
        <v>66</v>
      </c>
      <c r="AM92" s="2">
        <v>30</v>
      </c>
      <c r="AN92" s="2">
        <v>12</v>
      </c>
      <c r="AO92" s="2">
        <v>85</v>
      </c>
      <c r="AP92" s="2">
        <v>34</v>
      </c>
      <c r="AS92" s="124">
        <v>44615</v>
      </c>
      <c r="AT92" s="2">
        <v>184</v>
      </c>
      <c r="BZ92" s="2"/>
      <c r="CA92" s="19" t="s">
        <v>281</v>
      </c>
      <c r="CB92" s="2">
        <v>0</v>
      </c>
      <c r="CC92" s="2">
        <v>11</v>
      </c>
      <c r="CD92" s="2">
        <v>24</v>
      </c>
      <c r="CE92" s="2">
        <v>9</v>
      </c>
      <c r="CF92" s="2">
        <v>0</v>
      </c>
      <c r="CG92" s="2">
        <v>0</v>
      </c>
      <c r="CH92" s="2">
        <v>11</v>
      </c>
      <c r="CI92" s="2">
        <v>0</v>
      </c>
      <c r="CJ92" s="2">
        <v>16</v>
      </c>
      <c r="CK92" s="2">
        <v>11</v>
      </c>
      <c r="CL92" s="2">
        <v>1</v>
      </c>
      <c r="CM92" s="2">
        <v>23</v>
      </c>
      <c r="CN92" s="2">
        <v>11</v>
      </c>
      <c r="CP92" s="2"/>
      <c r="CR92" s="124">
        <v>44615</v>
      </c>
      <c r="CS92" s="2">
        <v>36</v>
      </c>
    </row>
    <row r="93" spans="29:97" x14ac:dyDescent="0.35">
      <c r="AC93" s="19" t="s">
        <v>137</v>
      </c>
      <c r="AD93" s="2">
        <v>0</v>
      </c>
      <c r="AE93" s="2">
        <v>0</v>
      </c>
      <c r="AF93" s="2">
        <v>0</v>
      </c>
      <c r="AG93" s="2">
        <v>0</v>
      </c>
      <c r="AH93" s="2">
        <v>0</v>
      </c>
      <c r="AI93" s="2">
        <v>0</v>
      </c>
      <c r="AJ93" s="2">
        <v>0</v>
      </c>
      <c r="AK93" s="2">
        <v>0</v>
      </c>
      <c r="AL93" s="2">
        <v>0</v>
      </c>
      <c r="AM93" s="2">
        <v>0</v>
      </c>
      <c r="AN93" s="2">
        <v>0</v>
      </c>
      <c r="AO93" s="2">
        <v>147</v>
      </c>
      <c r="AP93" s="2">
        <v>214</v>
      </c>
      <c r="AS93" s="124">
        <v>44616</v>
      </c>
      <c r="AT93" s="2">
        <v>169</v>
      </c>
      <c r="BZ93" s="2"/>
      <c r="CA93" s="19" t="s">
        <v>137</v>
      </c>
      <c r="CB93" s="2">
        <v>0</v>
      </c>
      <c r="CC93" s="2">
        <v>0</v>
      </c>
      <c r="CD93" s="2">
        <v>0</v>
      </c>
      <c r="CE93" s="2">
        <v>0</v>
      </c>
      <c r="CF93" s="2">
        <v>0</v>
      </c>
      <c r="CG93" s="2">
        <v>0</v>
      </c>
      <c r="CH93" s="2">
        <v>0</v>
      </c>
      <c r="CI93" s="2">
        <v>0</v>
      </c>
      <c r="CJ93" s="2">
        <v>0</v>
      </c>
      <c r="CK93" s="2">
        <v>0</v>
      </c>
      <c r="CL93" s="2">
        <v>0</v>
      </c>
      <c r="CM93" s="2">
        <v>7</v>
      </c>
      <c r="CN93" s="2">
        <v>36</v>
      </c>
      <c r="CP93" s="2"/>
      <c r="CR93" s="124">
        <v>44616</v>
      </c>
      <c r="CS93" s="2">
        <v>23</v>
      </c>
    </row>
    <row r="94" spans="29:97" x14ac:dyDescent="0.35">
      <c r="AC94" s="19" t="s">
        <v>138</v>
      </c>
      <c r="AD94" s="2">
        <v>0</v>
      </c>
      <c r="AE94" s="2">
        <v>0</v>
      </c>
      <c r="AF94" s="2">
        <v>12</v>
      </c>
      <c r="AG94" s="2">
        <v>0</v>
      </c>
      <c r="AH94" s="2">
        <v>0</v>
      </c>
      <c r="AI94" s="2">
        <v>0</v>
      </c>
      <c r="AJ94" s="2">
        <v>0</v>
      </c>
      <c r="AK94" s="2">
        <v>0</v>
      </c>
      <c r="AL94" s="2">
        <v>7</v>
      </c>
      <c r="AM94" s="2">
        <v>0</v>
      </c>
      <c r="AN94" s="2">
        <v>0</v>
      </c>
      <c r="AO94" s="2">
        <v>0</v>
      </c>
      <c r="AP94" s="2">
        <v>6</v>
      </c>
      <c r="AS94" s="124">
        <v>44617</v>
      </c>
      <c r="AT94" s="2">
        <v>210</v>
      </c>
      <c r="BZ94" s="2"/>
      <c r="CA94" s="19" t="s">
        <v>138</v>
      </c>
      <c r="CB94" s="2">
        <v>0</v>
      </c>
      <c r="CC94" s="2">
        <v>0</v>
      </c>
      <c r="CD94" s="2">
        <v>4</v>
      </c>
      <c r="CE94" s="2">
        <v>0</v>
      </c>
      <c r="CF94" s="2">
        <v>0</v>
      </c>
      <c r="CG94" s="2">
        <v>0</v>
      </c>
      <c r="CH94" s="2">
        <v>0</v>
      </c>
      <c r="CI94" s="2">
        <v>0</v>
      </c>
      <c r="CJ94" s="2">
        <v>1</v>
      </c>
      <c r="CK94" s="2">
        <v>0</v>
      </c>
      <c r="CL94" s="2">
        <v>0</v>
      </c>
      <c r="CM94" s="2">
        <v>0</v>
      </c>
      <c r="CN94" s="2">
        <v>1</v>
      </c>
      <c r="CP94" s="2"/>
      <c r="CR94" s="124">
        <v>44617</v>
      </c>
      <c r="CS94" s="2">
        <v>28</v>
      </c>
    </row>
    <row r="95" spans="29:97" x14ac:dyDescent="0.35">
      <c r="AC95" s="19" t="s">
        <v>139</v>
      </c>
      <c r="AD95" s="2">
        <v>0</v>
      </c>
      <c r="AE95" s="2">
        <v>0</v>
      </c>
      <c r="AF95" s="2">
        <v>0</v>
      </c>
      <c r="AG95" s="2">
        <v>0</v>
      </c>
      <c r="AH95" s="2">
        <v>0</v>
      </c>
      <c r="AI95" s="2">
        <v>0</v>
      </c>
      <c r="AJ95" s="2">
        <v>0</v>
      </c>
      <c r="AK95" s="2">
        <v>0</v>
      </c>
      <c r="AL95" s="2">
        <v>0</v>
      </c>
      <c r="AM95" s="2">
        <v>0</v>
      </c>
      <c r="AN95" s="2">
        <v>0</v>
      </c>
      <c r="AO95" s="2">
        <v>3</v>
      </c>
      <c r="AP95" s="2">
        <v>0</v>
      </c>
      <c r="AS95" s="124">
        <v>44618</v>
      </c>
      <c r="AT95" s="2">
        <v>306</v>
      </c>
      <c r="BZ95" s="2"/>
      <c r="CA95" s="19" t="s">
        <v>139</v>
      </c>
      <c r="CB95" s="2">
        <v>0</v>
      </c>
      <c r="CC95" s="2">
        <v>0</v>
      </c>
      <c r="CD95" s="2">
        <v>0</v>
      </c>
      <c r="CE95" s="2">
        <v>0</v>
      </c>
      <c r="CF95" s="2">
        <v>0</v>
      </c>
      <c r="CG95" s="2">
        <v>0</v>
      </c>
      <c r="CH95" s="2">
        <v>0</v>
      </c>
      <c r="CI95" s="2">
        <v>0</v>
      </c>
      <c r="CJ95" s="2">
        <v>0</v>
      </c>
      <c r="CK95" s="2">
        <v>0</v>
      </c>
      <c r="CL95" s="2">
        <v>0</v>
      </c>
      <c r="CM95" s="2">
        <v>3</v>
      </c>
      <c r="CN95" s="2">
        <v>0</v>
      </c>
      <c r="CP95" s="2"/>
      <c r="CR95" s="124">
        <v>44618</v>
      </c>
      <c r="CS95" s="2">
        <v>51</v>
      </c>
    </row>
    <row r="96" spans="29:97" x14ac:dyDescent="0.35">
      <c r="AC96" s="19" t="s">
        <v>140</v>
      </c>
      <c r="AD96" s="2">
        <v>0</v>
      </c>
      <c r="AE96" s="2">
        <v>0</v>
      </c>
      <c r="AF96" s="2">
        <v>0</v>
      </c>
      <c r="AG96" s="2">
        <v>0</v>
      </c>
      <c r="AH96" s="2">
        <v>0</v>
      </c>
      <c r="AI96" s="2">
        <v>0</v>
      </c>
      <c r="AJ96" s="2">
        <v>0</v>
      </c>
      <c r="AK96" s="2">
        <v>0</v>
      </c>
      <c r="AL96" s="2">
        <v>0</v>
      </c>
      <c r="AM96" s="2">
        <v>0</v>
      </c>
      <c r="AN96" s="2">
        <v>0</v>
      </c>
      <c r="AO96" s="2">
        <v>0</v>
      </c>
      <c r="AP96" s="2">
        <v>0</v>
      </c>
      <c r="AS96" s="124">
        <v>44619</v>
      </c>
      <c r="AT96" s="2">
        <v>269</v>
      </c>
      <c r="BZ96" s="2"/>
      <c r="CA96" s="19" t="s">
        <v>140</v>
      </c>
      <c r="CB96" s="2">
        <v>0</v>
      </c>
      <c r="CC96" s="2">
        <v>0</v>
      </c>
      <c r="CD96" s="2">
        <v>0</v>
      </c>
      <c r="CE96" s="2">
        <v>0</v>
      </c>
      <c r="CF96" s="2">
        <v>0</v>
      </c>
      <c r="CG96" s="2">
        <v>0</v>
      </c>
      <c r="CH96" s="2">
        <v>0</v>
      </c>
      <c r="CI96" s="2">
        <v>0</v>
      </c>
      <c r="CJ96" s="2">
        <v>0</v>
      </c>
      <c r="CK96" s="2">
        <v>0</v>
      </c>
      <c r="CL96" s="2">
        <v>0</v>
      </c>
      <c r="CM96" s="2">
        <v>0</v>
      </c>
      <c r="CN96" s="2">
        <v>0</v>
      </c>
      <c r="CP96" s="2"/>
      <c r="CR96" s="124">
        <v>44619</v>
      </c>
      <c r="CS96" s="2">
        <v>54</v>
      </c>
    </row>
    <row r="97" spans="29:94" x14ac:dyDescent="0.35">
      <c r="AC97" s="19" t="s">
        <v>141</v>
      </c>
      <c r="AD97" s="2">
        <v>0</v>
      </c>
      <c r="AE97" s="2">
        <v>0</v>
      </c>
      <c r="AF97" s="2">
        <v>6</v>
      </c>
      <c r="AG97" s="2">
        <v>0</v>
      </c>
      <c r="AH97" s="2">
        <v>0</v>
      </c>
      <c r="AI97" s="2">
        <v>0</v>
      </c>
      <c r="AJ97" s="2">
        <v>0</v>
      </c>
      <c r="AK97" s="2">
        <v>130</v>
      </c>
      <c r="AL97" s="2">
        <v>656</v>
      </c>
      <c r="AM97" s="2">
        <v>305</v>
      </c>
      <c r="AN97" s="2">
        <v>0</v>
      </c>
      <c r="AO97" s="2">
        <v>0</v>
      </c>
      <c r="AP97" s="2">
        <v>0</v>
      </c>
      <c r="BZ97" s="2"/>
      <c r="CA97" s="19" t="s">
        <v>141</v>
      </c>
      <c r="CB97" s="2">
        <v>0</v>
      </c>
      <c r="CC97" s="2">
        <v>0</v>
      </c>
      <c r="CD97" s="2">
        <v>2</v>
      </c>
      <c r="CE97" s="2">
        <v>0</v>
      </c>
      <c r="CF97" s="2">
        <v>0</v>
      </c>
      <c r="CG97" s="2">
        <v>0</v>
      </c>
      <c r="CH97" s="2">
        <v>0</v>
      </c>
      <c r="CI97" s="2">
        <v>42</v>
      </c>
      <c r="CJ97" s="2">
        <v>186</v>
      </c>
      <c r="CK97" s="2">
        <v>83</v>
      </c>
      <c r="CL97" s="2">
        <v>0</v>
      </c>
      <c r="CM97" s="2">
        <v>0</v>
      </c>
      <c r="CN97" s="2">
        <v>0</v>
      </c>
      <c r="CP97" s="2"/>
    </row>
    <row r="98" spans="29:94" x14ac:dyDescent="0.35">
      <c r="AC98" s="19" t="s">
        <v>142</v>
      </c>
      <c r="AD98" s="2">
        <v>0</v>
      </c>
      <c r="AE98" s="2">
        <v>0</v>
      </c>
      <c r="AF98" s="2">
        <v>0</v>
      </c>
      <c r="AG98" s="2">
        <v>0</v>
      </c>
      <c r="AH98" s="2">
        <v>0</v>
      </c>
      <c r="AI98" s="2">
        <v>0</v>
      </c>
      <c r="AJ98" s="2">
        <v>0</v>
      </c>
      <c r="AK98" s="2">
        <v>0</v>
      </c>
      <c r="AL98" s="2">
        <v>0</v>
      </c>
      <c r="AM98" s="2">
        <v>0</v>
      </c>
      <c r="AN98" s="2">
        <v>0</v>
      </c>
      <c r="AO98" s="2">
        <v>0</v>
      </c>
      <c r="AP98" s="2">
        <v>0</v>
      </c>
      <c r="BZ98" s="2"/>
      <c r="CA98" s="19" t="s">
        <v>142</v>
      </c>
      <c r="CB98" s="2">
        <v>0</v>
      </c>
      <c r="CC98" s="2">
        <v>0</v>
      </c>
      <c r="CD98" s="2">
        <v>0</v>
      </c>
      <c r="CE98" s="2">
        <v>0</v>
      </c>
      <c r="CF98" s="2">
        <v>0</v>
      </c>
      <c r="CG98" s="2">
        <v>0</v>
      </c>
      <c r="CH98" s="2">
        <v>0</v>
      </c>
      <c r="CI98" s="2">
        <v>0</v>
      </c>
      <c r="CJ98" s="2">
        <v>0</v>
      </c>
      <c r="CK98" s="2">
        <v>0</v>
      </c>
      <c r="CL98" s="2">
        <v>0</v>
      </c>
      <c r="CM98" s="2">
        <v>0</v>
      </c>
      <c r="CN98" s="2">
        <v>0</v>
      </c>
      <c r="CP98" s="2"/>
    </row>
    <row r="99" spans="29:94" x14ac:dyDescent="0.35">
      <c r="AC99" s="19" t="s">
        <v>143</v>
      </c>
      <c r="AD99" s="2">
        <v>0</v>
      </c>
      <c r="AE99" s="2">
        <v>0</v>
      </c>
      <c r="AF99" s="2">
        <v>21</v>
      </c>
      <c r="AG99" s="2">
        <v>38</v>
      </c>
      <c r="AH99" s="2">
        <v>9</v>
      </c>
      <c r="AI99" s="2">
        <v>0</v>
      </c>
      <c r="AJ99" s="2">
        <v>0</v>
      </c>
      <c r="AK99" s="2">
        <v>0</v>
      </c>
      <c r="AL99" s="2">
        <v>0</v>
      </c>
      <c r="AM99" s="2">
        <v>0</v>
      </c>
      <c r="AN99" s="2">
        <v>0</v>
      </c>
      <c r="AO99" s="2">
        <v>0</v>
      </c>
      <c r="AP99" s="2">
        <v>0</v>
      </c>
      <c r="BZ99" s="2"/>
      <c r="CA99" s="19" t="s">
        <v>143</v>
      </c>
      <c r="CB99" s="2">
        <v>0</v>
      </c>
      <c r="CC99" s="2">
        <v>0</v>
      </c>
      <c r="CD99" s="2">
        <v>21</v>
      </c>
      <c r="CE99" s="2">
        <v>38</v>
      </c>
      <c r="CF99" s="2">
        <v>9</v>
      </c>
      <c r="CG99" s="2">
        <v>0</v>
      </c>
      <c r="CH99" s="2">
        <v>0</v>
      </c>
      <c r="CI99" s="2">
        <v>0</v>
      </c>
      <c r="CJ99" s="2">
        <v>0</v>
      </c>
      <c r="CK99" s="2">
        <v>0</v>
      </c>
      <c r="CL99" s="2">
        <v>0</v>
      </c>
      <c r="CM99" s="2">
        <v>0</v>
      </c>
      <c r="CN99" s="2">
        <v>0</v>
      </c>
      <c r="CP99" s="2"/>
    </row>
    <row r="100" spans="29:94" x14ac:dyDescent="0.35">
      <c r="AC100" s="19" t="s">
        <v>144</v>
      </c>
      <c r="AD100" s="2">
        <v>10</v>
      </c>
      <c r="AE100" s="2">
        <v>16</v>
      </c>
      <c r="AF100" s="2">
        <v>0</v>
      </c>
      <c r="AG100" s="2">
        <v>0</v>
      </c>
      <c r="AH100" s="2">
        <v>70</v>
      </c>
      <c r="AI100" s="2">
        <v>24</v>
      </c>
      <c r="AJ100" s="2">
        <v>0</v>
      </c>
      <c r="AK100" s="2">
        <v>0</v>
      </c>
      <c r="AL100" s="2">
        <v>0</v>
      </c>
      <c r="AM100" s="2">
        <v>0</v>
      </c>
      <c r="AN100" s="2">
        <v>0</v>
      </c>
      <c r="AO100" s="2">
        <v>0</v>
      </c>
      <c r="AP100" s="2">
        <v>0</v>
      </c>
      <c r="BZ100" s="2"/>
      <c r="CA100" s="19" t="s">
        <v>144</v>
      </c>
      <c r="CB100" s="2">
        <v>0</v>
      </c>
      <c r="CC100" s="2">
        <v>2</v>
      </c>
      <c r="CD100" s="2">
        <v>0</v>
      </c>
      <c r="CE100" s="2">
        <v>1</v>
      </c>
      <c r="CF100" s="2">
        <v>20</v>
      </c>
      <c r="CG100" s="2">
        <v>5</v>
      </c>
      <c r="CH100" s="2">
        <v>0</v>
      </c>
      <c r="CI100" s="2">
        <v>0</v>
      </c>
      <c r="CJ100" s="2">
        <v>0</v>
      </c>
      <c r="CK100" s="2">
        <v>0</v>
      </c>
      <c r="CL100" s="2">
        <v>0</v>
      </c>
      <c r="CM100" s="2">
        <v>0</v>
      </c>
      <c r="CN100" s="2">
        <v>0</v>
      </c>
      <c r="CP100" s="2"/>
    </row>
    <row r="101" spans="29:94" x14ac:dyDescent="0.35">
      <c r="AC101" s="19" t="s">
        <v>145</v>
      </c>
      <c r="AD101" s="2">
        <v>0</v>
      </c>
      <c r="AE101" s="2">
        <v>0</v>
      </c>
      <c r="AF101" s="2">
        <v>0</v>
      </c>
      <c r="AG101" s="2">
        <v>0</v>
      </c>
      <c r="AH101" s="2">
        <v>0</v>
      </c>
      <c r="AI101" s="2">
        <v>0</v>
      </c>
      <c r="AJ101" s="2">
        <v>0</v>
      </c>
      <c r="AK101" s="2">
        <v>0</v>
      </c>
      <c r="AL101" s="2">
        <v>0</v>
      </c>
      <c r="AM101" s="2">
        <v>100</v>
      </c>
      <c r="AN101" s="2">
        <v>129</v>
      </c>
      <c r="AO101" s="2">
        <v>0</v>
      </c>
      <c r="AP101" s="2">
        <v>0</v>
      </c>
      <c r="BZ101" s="2"/>
      <c r="CA101" s="19" t="s">
        <v>145</v>
      </c>
      <c r="CB101" s="2">
        <v>0</v>
      </c>
      <c r="CC101" s="2">
        <v>0</v>
      </c>
      <c r="CD101" s="2">
        <v>0</v>
      </c>
      <c r="CE101" s="2">
        <v>0</v>
      </c>
      <c r="CF101" s="2">
        <v>0</v>
      </c>
      <c r="CG101" s="2">
        <v>0</v>
      </c>
      <c r="CH101" s="2">
        <v>0</v>
      </c>
      <c r="CI101" s="2">
        <v>0</v>
      </c>
      <c r="CJ101" s="2">
        <v>0</v>
      </c>
      <c r="CK101" s="2">
        <v>21</v>
      </c>
      <c r="CL101" s="2">
        <v>32</v>
      </c>
      <c r="CM101" s="2">
        <v>0</v>
      </c>
      <c r="CN101" s="2">
        <v>0</v>
      </c>
      <c r="CP101" s="2"/>
    </row>
    <row r="102" spans="29:94" x14ac:dyDescent="0.35">
      <c r="AC102" s="19" t="s">
        <v>146</v>
      </c>
      <c r="AD102" s="2">
        <v>0</v>
      </c>
      <c r="AE102" s="2">
        <v>0</v>
      </c>
      <c r="AF102" s="2">
        <v>0</v>
      </c>
      <c r="AG102" s="2">
        <v>0</v>
      </c>
      <c r="AH102" s="2">
        <v>0</v>
      </c>
      <c r="AI102" s="2">
        <v>110</v>
      </c>
      <c r="AJ102" s="2">
        <v>22</v>
      </c>
      <c r="AK102" s="2">
        <v>0</v>
      </c>
      <c r="AL102" s="2">
        <v>0</v>
      </c>
      <c r="AM102" s="2">
        <v>12</v>
      </c>
      <c r="AN102" s="2">
        <v>0</v>
      </c>
      <c r="AO102" s="2">
        <v>0</v>
      </c>
      <c r="AP102" s="2">
        <v>0</v>
      </c>
      <c r="BZ102" s="2"/>
      <c r="CA102" s="19" t="s">
        <v>146</v>
      </c>
      <c r="CB102" s="2">
        <v>0</v>
      </c>
      <c r="CC102" s="2">
        <v>0</v>
      </c>
      <c r="CD102" s="2">
        <v>0</v>
      </c>
      <c r="CE102" s="2">
        <v>0</v>
      </c>
      <c r="CF102" s="2">
        <v>0</v>
      </c>
      <c r="CG102" s="2">
        <v>28</v>
      </c>
      <c r="CH102" s="2">
        <v>6</v>
      </c>
      <c r="CI102" s="2">
        <v>0</v>
      </c>
      <c r="CJ102" s="2">
        <v>0</v>
      </c>
      <c r="CK102" s="2">
        <v>4</v>
      </c>
      <c r="CL102" s="2">
        <v>0</v>
      </c>
      <c r="CM102" s="2">
        <v>0</v>
      </c>
      <c r="CN102" s="2">
        <v>0</v>
      </c>
      <c r="CP102" s="2"/>
    </row>
    <row r="103" spans="29:94" x14ac:dyDescent="0.35">
      <c r="AC103" s="19" t="s">
        <v>147</v>
      </c>
      <c r="AD103" s="2">
        <v>0</v>
      </c>
      <c r="AE103" s="2">
        <v>0</v>
      </c>
      <c r="AF103" s="2">
        <v>0</v>
      </c>
      <c r="AG103" s="2">
        <v>0</v>
      </c>
      <c r="AH103" s="2">
        <v>0</v>
      </c>
      <c r="AI103" s="2">
        <v>0</v>
      </c>
      <c r="AJ103" s="2">
        <v>0</v>
      </c>
      <c r="AK103" s="2">
        <v>0</v>
      </c>
      <c r="AL103" s="2">
        <v>0</v>
      </c>
      <c r="AM103" s="2">
        <v>0</v>
      </c>
      <c r="AN103" s="2">
        <v>0</v>
      </c>
      <c r="AO103" s="2">
        <v>0</v>
      </c>
      <c r="AP103" s="2">
        <v>0</v>
      </c>
      <c r="BZ103" s="2"/>
      <c r="CA103" s="19" t="s">
        <v>147</v>
      </c>
      <c r="CB103" s="2">
        <v>0</v>
      </c>
      <c r="CC103" s="2">
        <v>0</v>
      </c>
      <c r="CD103" s="2">
        <v>0</v>
      </c>
      <c r="CE103" s="2">
        <v>0</v>
      </c>
      <c r="CF103" s="2">
        <v>0</v>
      </c>
      <c r="CG103" s="2">
        <v>0</v>
      </c>
      <c r="CH103" s="2">
        <v>0</v>
      </c>
      <c r="CI103" s="2">
        <v>0</v>
      </c>
      <c r="CJ103" s="2">
        <v>0</v>
      </c>
      <c r="CK103" s="2">
        <v>0</v>
      </c>
      <c r="CL103" s="2">
        <v>0</v>
      </c>
      <c r="CM103" s="2">
        <v>0</v>
      </c>
      <c r="CN103" s="2">
        <v>0</v>
      </c>
      <c r="CP103" s="2"/>
    </row>
    <row r="104" spans="29:94" x14ac:dyDescent="0.35">
      <c r="AC104" s="19" t="s">
        <v>257</v>
      </c>
      <c r="AD104" s="2">
        <v>0</v>
      </c>
      <c r="AE104" s="2">
        <v>12</v>
      </c>
      <c r="AF104" s="2">
        <v>24</v>
      </c>
      <c r="AG104" s="2">
        <v>90</v>
      </c>
      <c r="AH104" s="2">
        <v>315</v>
      </c>
      <c r="AI104" s="2">
        <v>78</v>
      </c>
      <c r="AJ104" s="2">
        <v>6</v>
      </c>
      <c r="AK104" s="2">
        <v>0</v>
      </c>
      <c r="AL104" s="2">
        <v>24</v>
      </c>
      <c r="AM104" s="2">
        <v>6</v>
      </c>
      <c r="AN104" s="2">
        <v>0</v>
      </c>
      <c r="AO104" s="2">
        <v>0</v>
      </c>
      <c r="AP104" s="2">
        <v>0</v>
      </c>
      <c r="BZ104" s="2"/>
      <c r="CA104" s="19" t="s">
        <v>257</v>
      </c>
      <c r="CB104" s="2">
        <v>0</v>
      </c>
      <c r="CC104" s="2">
        <v>0</v>
      </c>
      <c r="CD104" s="2">
        <v>8</v>
      </c>
      <c r="CE104" s="2">
        <v>21</v>
      </c>
      <c r="CF104" s="2">
        <v>19</v>
      </c>
      <c r="CG104" s="2">
        <v>7</v>
      </c>
      <c r="CH104" s="2">
        <v>2</v>
      </c>
      <c r="CI104" s="2">
        <v>0</v>
      </c>
      <c r="CJ104" s="2">
        <v>1</v>
      </c>
      <c r="CK104" s="2">
        <v>1</v>
      </c>
      <c r="CL104" s="2">
        <v>0</v>
      </c>
      <c r="CM104" s="2">
        <v>0</v>
      </c>
      <c r="CN104" s="2">
        <v>0</v>
      </c>
      <c r="CP104" s="2"/>
    </row>
    <row r="105" spans="29:94" x14ac:dyDescent="0.35">
      <c r="AC105" s="19" t="s">
        <v>148</v>
      </c>
      <c r="AD105" s="2">
        <v>24</v>
      </c>
      <c r="AE105" s="2">
        <v>12</v>
      </c>
      <c r="AF105" s="2">
        <v>42</v>
      </c>
      <c r="AG105" s="2">
        <v>25</v>
      </c>
      <c r="AH105" s="2">
        <v>18</v>
      </c>
      <c r="AI105" s="2">
        <v>16</v>
      </c>
      <c r="AJ105" s="2">
        <v>12</v>
      </c>
      <c r="AK105" s="2">
        <v>0</v>
      </c>
      <c r="AL105" s="2">
        <v>0</v>
      </c>
      <c r="AM105" s="2">
        <v>0</v>
      </c>
      <c r="AN105" s="2">
        <v>0</v>
      </c>
      <c r="AO105" s="2">
        <v>0</v>
      </c>
      <c r="AP105" s="2">
        <v>24</v>
      </c>
      <c r="BZ105" s="2"/>
      <c r="CA105" s="19" t="s">
        <v>148</v>
      </c>
      <c r="CB105" s="2">
        <v>0</v>
      </c>
      <c r="CC105" s="2">
        <v>0</v>
      </c>
      <c r="CD105" s="2">
        <v>8</v>
      </c>
      <c r="CE105" s="2">
        <v>6</v>
      </c>
      <c r="CF105" s="2">
        <v>5</v>
      </c>
      <c r="CG105" s="2">
        <v>2</v>
      </c>
      <c r="CH105" s="2">
        <v>4</v>
      </c>
      <c r="CI105" s="2">
        <v>0</v>
      </c>
      <c r="CJ105" s="2">
        <v>0</v>
      </c>
      <c r="CK105" s="2">
        <v>0</v>
      </c>
      <c r="CL105" s="2">
        <v>0</v>
      </c>
      <c r="CM105" s="2">
        <v>0</v>
      </c>
      <c r="CN105" s="2">
        <v>2</v>
      </c>
      <c r="CP105" s="2"/>
    </row>
    <row r="106" spans="29:94" x14ac:dyDescent="0.35">
      <c r="AC106" s="19" t="s">
        <v>149</v>
      </c>
      <c r="AD106" s="2">
        <v>0</v>
      </c>
      <c r="AE106" s="2">
        <v>36</v>
      </c>
      <c r="AF106" s="2">
        <v>1</v>
      </c>
      <c r="AG106" s="2">
        <v>0</v>
      </c>
      <c r="AH106" s="2">
        <v>0</v>
      </c>
      <c r="AI106" s="2">
        <v>0</v>
      </c>
      <c r="AJ106" s="2">
        <v>22</v>
      </c>
      <c r="AK106" s="2">
        <v>30</v>
      </c>
      <c r="AL106" s="2">
        <v>0</v>
      </c>
      <c r="AM106" s="2">
        <v>5</v>
      </c>
      <c r="AN106" s="2">
        <v>5</v>
      </c>
      <c r="AO106" s="2">
        <v>3</v>
      </c>
      <c r="AP106" s="2">
        <v>3</v>
      </c>
      <c r="BZ106" s="2"/>
      <c r="CA106" s="19" t="s">
        <v>149</v>
      </c>
      <c r="CB106" s="2">
        <v>0</v>
      </c>
      <c r="CC106" s="2">
        <v>1</v>
      </c>
      <c r="CD106" s="2">
        <v>0</v>
      </c>
      <c r="CE106" s="2">
        <v>0</v>
      </c>
      <c r="CF106" s="2">
        <v>0</v>
      </c>
      <c r="CG106" s="2">
        <v>0</v>
      </c>
      <c r="CH106" s="2">
        <v>7</v>
      </c>
      <c r="CI106" s="2">
        <v>17</v>
      </c>
      <c r="CJ106" s="2">
        <v>0</v>
      </c>
      <c r="CK106" s="2">
        <v>0</v>
      </c>
      <c r="CL106" s="2">
        <v>0</v>
      </c>
      <c r="CM106" s="2">
        <v>0</v>
      </c>
      <c r="CN106" s="2">
        <v>0</v>
      </c>
      <c r="CP106" s="2"/>
    </row>
    <row r="107" spans="29:94" x14ac:dyDescent="0.35">
      <c r="AC107" s="19" t="s">
        <v>150</v>
      </c>
      <c r="AD107" s="2">
        <v>58</v>
      </c>
      <c r="AE107" s="2">
        <v>12</v>
      </c>
      <c r="AF107" s="2">
        <v>174</v>
      </c>
      <c r="AG107" s="2">
        <v>34</v>
      </c>
      <c r="AH107" s="2">
        <v>0</v>
      </c>
      <c r="AI107" s="2">
        <v>0</v>
      </c>
      <c r="AJ107" s="2">
        <v>1</v>
      </c>
      <c r="AK107" s="2">
        <v>35</v>
      </c>
      <c r="AL107" s="2">
        <v>9</v>
      </c>
      <c r="AM107" s="2">
        <v>0</v>
      </c>
      <c r="AN107" s="2">
        <v>18</v>
      </c>
      <c r="AO107" s="2">
        <v>0</v>
      </c>
      <c r="AP107" s="2">
        <v>13</v>
      </c>
      <c r="BZ107" s="2"/>
      <c r="CA107" s="19" t="s">
        <v>150</v>
      </c>
      <c r="CB107" s="2">
        <v>5</v>
      </c>
      <c r="CC107" s="2">
        <v>3</v>
      </c>
      <c r="CD107" s="2">
        <v>21</v>
      </c>
      <c r="CE107" s="2">
        <v>7</v>
      </c>
      <c r="CF107" s="2">
        <v>0</v>
      </c>
      <c r="CG107" s="2">
        <v>0</v>
      </c>
      <c r="CH107" s="2">
        <v>0</v>
      </c>
      <c r="CI107" s="2">
        <v>3</v>
      </c>
      <c r="CJ107" s="2">
        <v>2</v>
      </c>
      <c r="CK107" s="2">
        <v>0</v>
      </c>
      <c r="CL107" s="2">
        <v>0</v>
      </c>
      <c r="CM107" s="2">
        <v>0</v>
      </c>
      <c r="CN107" s="2">
        <v>1</v>
      </c>
      <c r="CP107" s="2"/>
    </row>
    <row r="108" spans="29:94" x14ac:dyDescent="0.35">
      <c r="AC108" s="19" t="s">
        <v>151</v>
      </c>
      <c r="AD108" s="2">
        <v>24</v>
      </c>
      <c r="AE108" s="2">
        <v>28</v>
      </c>
      <c r="AF108" s="2">
        <v>0</v>
      </c>
      <c r="AG108" s="2">
        <v>0</v>
      </c>
      <c r="AH108" s="2">
        <v>0</v>
      </c>
      <c r="AI108" s="2">
        <v>0</v>
      </c>
      <c r="AJ108" s="2">
        <v>24</v>
      </c>
      <c r="AK108" s="2">
        <v>0</v>
      </c>
      <c r="AL108" s="2">
        <v>0</v>
      </c>
      <c r="AM108" s="2">
        <v>0</v>
      </c>
      <c r="AN108" s="2">
        <v>0</v>
      </c>
      <c r="AO108" s="2">
        <v>0</v>
      </c>
      <c r="AP108" s="2">
        <v>0</v>
      </c>
      <c r="BZ108" s="2"/>
      <c r="CA108" s="19" t="s">
        <v>151</v>
      </c>
      <c r="CB108" s="2">
        <v>3</v>
      </c>
      <c r="CC108" s="2">
        <v>3</v>
      </c>
      <c r="CD108" s="2">
        <v>0</v>
      </c>
      <c r="CE108" s="2">
        <v>0</v>
      </c>
      <c r="CF108" s="2">
        <v>0</v>
      </c>
      <c r="CG108" s="2">
        <v>0</v>
      </c>
      <c r="CH108" s="2">
        <v>7</v>
      </c>
      <c r="CI108" s="2">
        <v>0</v>
      </c>
      <c r="CJ108" s="2">
        <v>0</v>
      </c>
      <c r="CK108" s="2">
        <v>0</v>
      </c>
      <c r="CL108" s="2">
        <v>0</v>
      </c>
      <c r="CM108" s="2">
        <v>0</v>
      </c>
      <c r="CN108" s="2">
        <v>0</v>
      </c>
      <c r="CP108" s="2"/>
    </row>
    <row r="109" spans="29:94" x14ac:dyDescent="0.35">
      <c r="AC109" s="19" t="s">
        <v>152</v>
      </c>
      <c r="AD109" s="2">
        <v>0</v>
      </c>
      <c r="AE109" s="2">
        <v>8</v>
      </c>
      <c r="AF109" s="2">
        <v>12</v>
      </c>
      <c r="AG109" s="2">
        <v>0</v>
      </c>
      <c r="AH109" s="2">
        <v>0</v>
      </c>
      <c r="AI109" s="2">
        <v>0</v>
      </c>
      <c r="AJ109" s="2">
        <v>0</v>
      </c>
      <c r="AK109" s="2">
        <v>5</v>
      </c>
      <c r="AL109" s="2">
        <v>14</v>
      </c>
      <c r="AM109" s="2">
        <v>0</v>
      </c>
      <c r="AN109" s="2">
        <v>0</v>
      </c>
      <c r="AO109" s="2">
        <v>0</v>
      </c>
      <c r="AP109" s="2">
        <v>0</v>
      </c>
      <c r="BZ109" s="2"/>
      <c r="CA109" s="19" t="s">
        <v>152</v>
      </c>
      <c r="CB109" s="2">
        <v>0</v>
      </c>
      <c r="CC109" s="2">
        <v>0</v>
      </c>
      <c r="CD109" s="2">
        <v>3</v>
      </c>
      <c r="CE109" s="2">
        <v>0</v>
      </c>
      <c r="CF109" s="2">
        <v>0</v>
      </c>
      <c r="CG109" s="2">
        <v>0</v>
      </c>
      <c r="CH109" s="2">
        <v>0</v>
      </c>
      <c r="CI109" s="2">
        <v>1</v>
      </c>
      <c r="CJ109" s="2">
        <v>6</v>
      </c>
      <c r="CK109" s="2">
        <v>0</v>
      </c>
      <c r="CL109" s="2">
        <v>0</v>
      </c>
      <c r="CM109" s="2">
        <v>0</v>
      </c>
      <c r="CN109" s="2">
        <v>0</v>
      </c>
      <c r="CP109" s="2"/>
    </row>
    <row r="110" spans="29:94" x14ac:dyDescent="0.35">
      <c r="AC110" s="19" t="s">
        <v>153</v>
      </c>
      <c r="AD110" s="2">
        <v>0</v>
      </c>
      <c r="AE110" s="2">
        <v>24</v>
      </c>
      <c r="AF110" s="2">
        <v>10</v>
      </c>
      <c r="AG110" s="2">
        <v>6</v>
      </c>
      <c r="AH110" s="2">
        <v>0</v>
      </c>
      <c r="AI110" s="2">
        <v>6</v>
      </c>
      <c r="AJ110" s="2">
        <v>16</v>
      </c>
      <c r="AK110" s="2">
        <v>26</v>
      </c>
      <c r="AL110" s="2">
        <v>72</v>
      </c>
      <c r="AM110" s="2">
        <v>30</v>
      </c>
      <c r="AN110" s="2">
        <v>54</v>
      </c>
      <c r="AO110" s="2">
        <v>6</v>
      </c>
      <c r="AP110" s="2">
        <v>6</v>
      </c>
      <c r="BZ110" s="2"/>
      <c r="CA110" s="19" t="s">
        <v>153</v>
      </c>
      <c r="CB110" s="2">
        <v>0</v>
      </c>
      <c r="CC110" s="2">
        <v>0</v>
      </c>
      <c r="CD110" s="2">
        <v>0</v>
      </c>
      <c r="CE110" s="2">
        <v>0</v>
      </c>
      <c r="CF110" s="2">
        <v>0</v>
      </c>
      <c r="CG110" s="2">
        <v>2</v>
      </c>
      <c r="CH110" s="2">
        <v>0</v>
      </c>
      <c r="CI110" s="2">
        <v>1</v>
      </c>
      <c r="CJ110" s="2">
        <v>5</v>
      </c>
      <c r="CK110" s="2">
        <v>3</v>
      </c>
      <c r="CL110" s="2">
        <v>7</v>
      </c>
      <c r="CM110" s="2">
        <v>1</v>
      </c>
      <c r="CN110" s="2">
        <v>0</v>
      </c>
      <c r="CP110" s="2"/>
    </row>
    <row r="111" spans="29:94" x14ac:dyDescent="0.35">
      <c r="AC111" s="19" t="s">
        <v>154</v>
      </c>
      <c r="AD111" s="2">
        <v>0</v>
      </c>
      <c r="AE111" s="2">
        <v>0</v>
      </c>
      <c r="AF111" s="2">
        <v>0</v>
      </c>
      <c r="AG111" s="2">
        <v>0</v>
      </c>
      <c r="AH111" s="2">
        <v>0</v>
      </c>
      <c r="AI111" s="2">
        <v>0</v>
      </c>
      <c r="AJ111" s="2">
        <v>0</v>
      </c>
      <c r="AK111" s="2">
        <v>0</v>
      </c>
      <c r="AL111" s="2">
        <v>0</v>
      </c>
      <c r="AM111" s="2">
        <v>0</v>
      </c>
      <c r="AN111" s="2">
        <v>0</v>
      </c>
      <c r="AO111" s="2">
        <v>0</v>
      </c>
      <c r="AP111" s="2">
        <v>0</v>
      </c>
      <c r="BZ111" s="2"/>
      <c r="CA111" s="19" t="s">
        <v>154</v>
      </c>
      <c r="CB111" s="2">
        <v>0</v>
      </c>
      <c r="CC111" s="2">
        <v>0</v>
      </c>
      <c r="CD111" s="2">
        <v>0</v>
      </c>
      <c r="CE111" s="2">
        <v>0</v>
      </c>
      <c r="CF111" s="2">
        <v>0</v>
      </c>
      <c r="CG111" s="2">
        <v>0</v>
      </c>
      <c r="CH111" s="2">
        <v>0</v>
      </c>
      <c r="CI111" s="2">
        <v>0</v>
      </c>
      <c r="CJ111" s="2">
        <v>0</v>
      </c>
      <c r="CK111" s="2">
        <v>0</v>
      </c>
      <c r="CL111" s="2">
        <v>0</v>
      </c>
      <c r="CM111" s="2">
        <v>0</v>
      </c>
      <c r="CN111" s="2">
        <v>0</v>
      </c>
      <c r="CP111" s="2"/>
    </row>
    <row r="112" spans="29:94" x14ac:dyDescent="0.35">
      <c r="AC112" s="19" t="s">
        <v>287</v>
      </c>
      <c r="AD112" s="2">
        <v>1</v>
      </c>
      <c r="AE112" s="2">
        <v>46</v>
      </c>
      <c r="AF112" s="2">
        <v>0</v>
      </c>
      <c r="AG112" s="2">
        <v>2</v>
      </c>
      <c r="AH112" s="2">
        <v>2</v>
      </c>
      <c r="AI112" s="2">
        <v>10</v>
      </c>
      <c r="AJ112" s="2">
        <v>21</v>
      </c>
      <c r="AK112" s="2">
        <v>3</v>
      </c>
      <c r="AL112" s="2">
        <v>22</v>
      </c>
      <c r="AM112" s="2">
        <v>8</v>
      </c>
      <c r="AN112" s="2">
        <v>0</v>
      </c>
      <c r="AO112" s="2">
        <v>0</v>
      </c>
      <c r="AP112" s="2">
        <v>15</v>
      </c>
      <c r="BZ112" s="2"/>
      <c r="CA112" s="19" t="s">
        <v>287</v>
      </c>
      <c r="CB112" s="2">
        <v>1</v>
      </c>
      <c r="CC112" s="2">
        <v>0</v>
      </c>
      <c r="CD112" s="2">
        <v>0</v>
      </c>
      <c r="CE112" s="2">
        <v>0</v>
      </c>
      <c r="CF112" s="2">
        <v>2</v>
      </c>
      <c r="CG112" s="2">
        <v>4</v>
      </c>
      <c r="CH112" s="2">
        <v>0</v>
      </c>
      <c r="CI112" s="2">
        <v>0</v>
      </c>
      <c r="CJ112" s="2">
        <v>5</v>
      </c>
      <c r="CK112" s="2">
        <v>0</v>
      </c>
      <c r="CL112" s="2">
        <v>0</v>
      </c>
      <c r="CM112" s="2">
        <v>0</v>
      </c>
      <c r="CN112" s="2">
        <v>3</v>
      </c>
      <c r="CP112" s="2"/>
    </row>
    <row r="113" spans="29:94" x14ac:dyDescent="0.35">
      <c r="AC113" s="19" t="s">
        <v>155</v>
      </c>
      <c r="AD113" s="2">
        <v>0</v>
      </c>
      <c r="AE113" s="2">
        <v>0</v>
      </c>
      <c r="AF113" s="2">
        <v>0</v>
      </c>
      <c r="AG113" s="2">
        <v>0</v>
      </c>
      <c r="AH113" s="2">
        <v>0</v>
      </c>
      <c r="AI113" s="2">
        <v>0</v>
      </c>
      <c r="AJ113" s="2">
        <v>0</v>
      </c>
      <c r="AK113" s="2">
        <v>0</v>
      </c>
      <c r="AL113" s="2">
        <v>0</v>
      </c>
      <c r="AM113" s="2">
        <v>0</v>
      </c>
      <c r="AN113" s="2">
        <v>94</v>
      </c>
      <c r="AO113" s="2">
        <v>42</v>
      </c>
      <c r="AP113" s="2">
        <v>0</v>
      </c>
      <c r="BZ113" s="2"/>
      <c r="CA113" s="19" t="s">
        <v>155</v>
      </c>
      <c r="CB113" s="2">
        <v>0</v>
      </c>
      <c r="CC113" s="2">
        <v>0</v>
      </c>
      <c r="CD113" s="2">
        <v>0</v>
      </c>
      <c r="CE113" s="2">
        <v>0</v>
      </c>
      <c r="CF113" s="2">
        <v>0</v>
      </c>
      <c r="CG113" s="2">
        <v>0</v>
      </c>
      <c r="CH113" s="2">
        <v>0</v>
      </c>
      <c r="CI113" s="2">
        <v>0</v>
      </c>
      <c r="CJ113" s="2">
        <v>0</v>
      </c>
      <c r="CK113" s="2">
        <v>0</v>
      </c>
      <c r="CL113" s="2">
        <v>49</v>
      </c>
      <c r="CM113" s="2">
        <v>18</v>
      </c>
      <c r="CN113" s="2">
        <v>0</v>
      </c>
      <c r="CP113" s="2"/>
    </row>
    <row r="114" spans="29:94" x14ac:dyDescent="0.35">
      <c r="AC114" s="19" t="s">
        <v>292</v>
      </c>
      <c r="AD114" s="2">
        <v>0</v>
      </c>
      <c r="AE114" s="2">
        <v>0</v>
      </c>
      <c r="AF114" s="2">
        <v>0</v>
      </c>
      <c r="AG114" s="2">
        <v>0</v>
      </c>
      <c r="AH114" s="2">
        <v>0</v>
      </c>
      <c r="AI114" s="2">
        <v>0</v>
      </c>
      <c r="AJ114" s="2">
        <v>0</v>
      </c>
      <c r="AK114" s="2">
        <v>0</v>
      </c>
      <c r="AL114" s="2">
        <v>0</v>
      </c>
      <c r="AM114" s="2">
        <v>0</v>
      </c>
      <c r="AN114" s="2">
        <v>0</v>
      </c>
      <c r="AO114" s="2">
        <v>0</v>
      </c>
      <c r="AP114" s="2">
        <v>0</v>
      </c>
      <c r="BZ114" s="2"/>
      <c r="CA114" s="19" t="s">
        <v>292</v>
      </c>
      <c r="CB114" s="2">
        <v>0</v>
      </c>
      <c r="CC114" s="2">
        <v>0</v>
      </c>
      <c r="CD114" s="2">
        <v>0</v>
      </c>
      <c r="CE114" s="2">
        <v>0</v>
      </c>
      <c r="CF114" s="2">
        <v>0</v>
      </c>
      <c r="CG114" s="2">
        <v>0</v>
      </c>
      <c r="CH114" s="2">
        <v>0</v>
      </c>
      <c r="CI114" s="2">
        <v>0</v>
      </c>
      <c r="CJ114" s="2">
        <v>0</v>
      </c>
      <c r="CK114" s="2">
        <v>0</v>
      </c>
      <c r="CL114" s="2">
        <v>0</v>
      </c>
      <c r="CM114" s="2">
        <v>0</v>
      </c>
      <c r="CN114" s="2">
        <v>0</v>
      </c>
      <c r="CP114" s="2"/>
    </row>
    <row r="115" spans="29:94" x14ac:dyDescent="0.35">
      <c r="AC115" s="19" t="s">
        <v>219</v>
      </c>
      <c r="AD115" s="2">
        <v>0</v>
      </c>
      <c r="AE115" s="2">
        <v>0</v>
      </c>
      <c r="AF115" s="2">
        <v>0</v>
      </c>
      <c r="AG115" s="2">
        <v>1</v>
      </c>
      <c r="AH115" s="2">
        <v>27</v>
      </c>
      <c r="AI115" s="2">
        <v>53</v>
      </c>
      <c r="AJ115" s="2">
        <v>0</v>
      </c>
      <c r="AK115" s="2">
        <v>0</v>
      </c>
      <c r="AL115" s="2">
        <v>26</v>
      </c>
      <c r="AM115" s="2">
        <v>147</v>
      </c>
      <c r="AN115" s="2">
        <v>0</v>
      </c>
      <c r="AO115" s="2">
        <v>24</v>
      </c>
      <c r="AP115" s="2">
        <v>0</v>
      </c>
      <c r="BZ115" s="2"/>
      <c r="CA115" s="19" t="s">
        <v>219</v>
      </c>
      <c r="CB115" s="2">
        <v>0</v>
      </c>
      <c r="CC115" s="2">
        <v>0</v>
      </c>
      <c r="CD115" s="2">
        <v>0</v>
      </c>
      <c r="CE115" s="2">
        <v>1</v>
      </c>
      <c r="CF115" s="2">
        <v>21</v>
      </c>
      <c r="CG115" s="2">
        <v>11</v>
      </c>
      <c r="CH115" s="2">
        <v>0</v>
      </c>
      <c r="CI115" s="2">
        <v>0</v>
      </c>
      <c r="CJ115" s="2">
        <v>0</v>
      </c>
      <c r="CK115" s="2">
        <v>16</v>
      </c>
      <c r="CL115" s="2">
        <v>0</v>
      </c>
      <c r="CM115" s="2">
        <v>2</v>
      </c>
      <c r="CN115" s="2">
        <v>0</v>
      </c>
      <c r="CP115" s="2"/>
    </row>
    <row r="116" spans="29:94" x14ac:dyDescent="0.35">
      <c r="AC116" s="19" t="s">
        <v>156</v>
      </c>
      <c r="AD116" s="2">
        <v>0</v>
      </c>
      <c r="AE116" s="2">
        <v>0</v>
      </c>
      <c r="AF116" s="2">
        <v>0</v>
      </c>
      <c r="AG116" s="2">
        <v>0</v>
      </c>
      <c r="AH116" s="2">
        <v>0</v>
      </c>
      <c r="AI116" s="2">
        <v>0</v>
      </c>
      <c r="AJ116" s="2">
        <v>0</v>
      </c>
      <c r="AK116" s="2">
        <v>0</v>
      </c>
      <c r="AL116" s="2">
        <v>0</v>
      </c>
      <c r="AM116" s="2">
        <v>0</v>
      </c>
      <c r="AN116" s="2">
        <v>120</v>
      </c>
      <c r="AO116" s="2">
        <v>117</v>
      </c>
      <c r="AP116" s="2">
        <v>18</v>
      </c>
      <c r="BZ116" s="2"/>
      <c r="CA116" s="19" t="s">
        <v>156</v>
      </c>
      <c r="CB116" s="2">
        <v>0</v>
      </c>
      <c r="CC116" s="2">
        <v>0</v>
      </c>
      <c r="CD116" s="2">
        <v>0</v>
      </c>
      <c r="CE116" s="2">
        <v>0</v>
      </c>
      <c r="CF116" s="2">
        <v>0</v>
      </c>
      <c r="CG116" s="2">
        <v>0</v>
      </c>
      <c r="CH116" s="2">
        <v>0</v>
      </c>
      <c r="CI116" s="2">
        <v>0</v>
      </c>
      <c r="CJ116" s="2">
        <v>0</v>
      </c>
      <c r="CK116" s="2">
        <v>0</v>
      </c>
      <c r="CL116" s="2">
        <v>39</v>
      </c>
      <c r="CM116" s="2">
        <v>39</v>
      </c>
      <c r="CN116" s="2">
        <v>4</v>
      </c>
      <c r="CP116" s="2"/>
    </row>
    <row r="117" spans="29:94" x14ac:dyDescent="0.35">
      <c r="AC117" s="19" t="s">
        <v>157</v>
      </c>
      <c r="AD117" s="2">
        <v>36</v>
      </c>
      <c r="AE117" s="2">
        <v>67</v>
      </c>
      <c r="AF117" s="2">
        <v>62</v>
      </c>
      <c r="AG117" s="2">
        <v>75</v>
      </c>
      <c r="AH117" s="2">
        <v>73</v>
      </c>
      <c r="AI117" s="2">
        <v>43</v>
      </c>
      <c r="AJ117" s="2">
        <v>77</v>
      </c>
      <c r="AK117" s="2">
        <v>74</v>
      </c>
      <c r="AL117" s="2">
        <v>72</v>
      </c>
      <c r="AM117" s="2">
        <v>79</v>
      </c>
      <c r="AN117" s="2">
        <v>50</v>
      </c>
      <c r="AO117" s="2">
        <v>76</v>
      </c>
      <c r="AP117" s="2">
        <v>65</v>
      </c>
      <c r="BZ117" s="2"/>
      <c r="CA117" s="19" t="s">
        <v>157</v>
      </c>
      <c r="CB117" s="2">
        <v>1</v>
      </c>
      <c r="CC117" s="2">
        <v>0</v>
      </c>
      <c r="CD117" s="2">
        <v>0</v>
      </c>
      <c r="CE117" s="2">
        <v>0</v>
      </c>
      <c r="CF117" s="2">
        <v>0</v>
      </c>
      <c r="CG117" s="2">
        <v>0</v>
      </c>
      <c r="CH117" s="2">
        <v>3</v>
      </c>
      <c r="CI117" s="2">
        <v>1</v>
      </c>
      <c r="CJ117" s="2">
        <v>0</v>
      </c>
      <c r="CK117" s="2">
        <v>0</v>
      </c>
      <c r="CL117" s="2">
        <v>0</v>
      </c>
      <c r="CM117" s="2">
        <v>0</v>
      </c>
      <c r="CN117" s="2">
        <v>0</v>
      </c>
      <c r="CP117" s="2"/>
    </row>
    <row r="118" spans="29:94" x14ac:dyDescent="0.35">
      <c r="AC118" s="19" t="s">
        <v>158</v>
      </c>
      <c r="AD118" s="2">
        <v>0</v>
      </c>
      <c r="AE118" s="2">
        <v>0</v>
      </c>
      <c r="AF118" s="2">
        <v>0</v>
      </c>
      <c r="AG118" s="2">
        <v>0</v>
      </c>
      <c r="AH118" s="2">
        <v>0</v>
      </c>
      <c r="AI118" s="2">
        <v>0</v>
      </c>
      <c r="AJ118" s="2">
        <v>0</v>
      </c>
      <c r="AK118" s="2">
        <v>0</v>
      </c>
      <c r="AL118" s="2">
        <v>0</v>
      </c>
      <c r="AM118" s="2">
        <v>0</v>
      </c>
      <c r="AN118" s="2">
        <v>0</v>
      </c>
      <c r="AO118" s="2">
        <v>0</v>
      </c>
      <c r="AP118" s="2">
        <v>0</v>
      </c>
      <c r="BZ118" s="2"/>
      <c r="CA118" s="19" t="s">
        <v>158</v>
      </c>
      <c r="CB118" s="2">
        <v>0</v>
      </c>
      <c r="CC118" s="2">
        <v>0</v>
      </c>
      <c r="CD118" s="2">
        <v>0</v>
      </c>
      <c r="CE118" s="2">
        <v>0</v>
      </c>
      <c r="CF118" s="2">
        <v>0</v>
      </c>
      <c r="CG118" s="2">
        <v>0</v>
      </c>
      <c r="CH118" s="2">
        <v>0</v>
      </c>
      <c r="CI118" s="2">
        <v>0</v>
      </c>
      <c r="CJ118" s="2">
        <v>0</v>
      </c>
      <c r="CK118" s="2">
        <v>0</v>
      </c>
      <c r="CL118" s="2">
        <v>0</v>
      </c>
      <c r="CM118" s="2">
        <v>0</v>
      </c>
      <c r="CN118" s="2">
        <v>0</v>
      </c>
      <c r="CP118" s="2"/>
    </row>
    <row r="119" spans="29:94" x14ac:dyDescent="0.35">
      <c r="AC119" s="19" t="s">
        <v>216</v>
      </c>
      <c r="AD119" s="2">
        <v>0</v>
      </c>
      <c r="AE119" s="2">
        <v>0</v>
      </c>
      <c r="AF119" s="2">
        <v>0</v>
      </c>
      <c r="AG119" s="2">
        <v>0</v>
      </c>
      <c r="AH119" s="2">
        <v>0</v>
      </c>
      <c r="AI119" s="2">
        <v>0</v>
      </c>
      <c r="AJ119" s="2">
        <v>37</v>
      </c>
      <c r="AK119" s="2">
        <v>16</v>
      </c>
      <c r="AL119" s="2">
        <v>0</v>
      </c>
      <c r="AM119" s="2">
        <v>0</v>
      </c>
      <c r="AN119" s="2">
        <v>0</v>
      </c>
      <c r="AO119" s="2">
        <v>55</v>
      </c>
      <c r="AP119" s="2">
        <v>20</v>
      </c>
      <c r="BZ119" s="2"/>
      <c r="CA119" s="19" t="s">
        <v>216</v>
      </c>
      <c r="CB119" s="2">
        <v>0</v>
      </c>
      <c r="CC119" s="2">
        <v>0</v>
      </c>
      <c r="CD119" s="2">
        <v>0</v>
      </c>
      <c r="CE119" s="2">
        <v>0</v>
      </c>
      <c r="CF119" s="2">
        <v>0</v>
      </c>
      <c r="CG119" s="2">
        <v>0</v>
      </c>
      <c r="CH119" s="2">
        <v>4</v>
      </c>
      <c r="CI119" s="2">
        <v>2</v>
      </c>
      <c r="CJ119" s="2">
        <v>0</v>
      </c>
      <c r="CK119" s="2">
        <v>0</v>
      </c>
      <c r="CL119" s="2">
        <v>0</v>
      </c>
      <c r="CM119" s="2">
        <v>8</v>
      </c>
      <c r="CN119" s="2">
        <v>4</v>
      </c>
      <c r="CP119" s="2"/>
    </row>
    <row r="120" spans="29:94" x14ac:dyDescent="0.35">
      <c r="AC120" s="19" t="s">
        <v>337</v>
      </c>
      <c r="AD120" s="2">
        <v>0</v>
      </c>
      <c r="AE120" s="2">
        <v>115</v>
      </c>
      <c r="AF120" s="2">
        <v>161</v>
      </c>
      <c r="AG120" s="2">
        <v>169</v>
      </c>
      <c r="AH120" s="2">
        <v>84</v>
      </c>
      <c r="AI120" s="2">
        <v>0</v>
      </c>
      <c r="AJ120" s="2">
        <v>0</v>
      </c>
      <c r="AK120" s="2">
        <v>0</v>
      </c>
      <c r="AL120" s="2">
        <v>0</v>
      </c>
      <c r="AM120" s="2">
        <v>0</v>
      </c>
      <c r="AN120" s="2">
        <v>0</v>
      </c>
      <c r="AO120" s="2">
        <v>0</v>
      </c>
      <c r="AP120" s="2">
        <v>0</v>
      </c>
      <c r="BZ120" s="2"/>
      <c r="CA120" s="19" t="s">
        <v>337</v>
      </c>
      <c r="CB120" s="2">
        <v>0</v>
      </c>
      <c r="CC120" s="2">
        <v>20</v>
      </c>
      <c r="CD120" s="2">
        <v>58</v>
      </c>
      <c r="CE120" s="2">
        <v>48</v>
      </c>
      <c r="CF120" s="2">
        <v>36</v>
      </c>
      <c r="CG120" s="2">
        <v>0</v>
      </c>
      <c r="CH120" s="2">
        <v>0</v>
      </c>
      <c r="CI120" s="2">
        <v>0</v>
      </c>
      <c r="CJ120" s="2">
        <v>0</v>
      </c>
      <c r="CK120" s="2">
        <v>0</v>
      </c>
      <c r="CL120" s="2">
        <v>0</v>
      </c>
      <c r="CM120" s="2">
        <v>0</v>
      </c>
      <c r="CN120" s="2">
        <v>0</v>
      </c>
      <c r="CP120" s="2"/>
    </row>
    <row r="121" spans="29:94" x14ac:dyDescent="0.35">
      <c r="AC121" s="19" t="s">
        <v>159</v>
      </c>
      <c r="AD121" s="2">
        <v>6</v>
      </c>
      <c r="AE121" s="2">
        <v>96</v>
      </c>
      <c r="AF121" s="2">
        <v>126</v>
      </c>
      <c r="AG121" s="2">
        <v>60</v>
      </c>
      <c r="AH121" s="2">
        <v>0</v>
      </c>
      <c r="AI121" s="2">
        <v>24</v>
      </c>
      <c r="AJ121" s="2">
        <v>0</v>
      </c>
      <c r="AK121" s="2">
        <v>0</v>
      </c>
      <c r="AL121" s="2">
        <v>0</v>
      </c>
      <c r="AM121" s="2">
        <v>0</v>
      </c>
      <c r="AN121" s="2">
        <v>24</v>
      </c>
      <c r="AO121" s="2">
        <v>12</v>
      </c>
      <c r="AP121" s="2">
        <v>42</v>
      </c>
      <c r="BZ121" s="2"/>
      <c r="CA121" s="19" t="s">
        <v>159</v>
      </c>
      <c r="CB121" s="2">
        <v>0</v>
      </c>
      <c r="CC121" s="2">
        <v>13</v>
      </c>
      <c r="CD121" s="2">
        <v>40</v>
      </c>
      <c r="CE121" s="2">
        <v>30</v>
      </c>
      <c r="CF121" s="2">
        <v>0</v>
      </c>
      <c r="CG121" s="2">
        <v>4</v>
      </c>
      <c r="CH121" s="2">
        <v>0</v>
      </c>
      <c r="CI121" s="2">
        <v>0</v>
      </c>
      <c r="CJ121" s="2">
        <v>0</v>
      </c>
      <c r="CK121" s="2">
        <v>0</v>
      </c>
      <c r="CL121" s="2">
        <v>6</v>
      </c>
      <c r="CM121" s="2">
        <v>2</v>
      </c>
      <c r="CN121" s="2">
        <v>13</v>
      </c>
      <c r="CP121" s="2"/>
    </row>
    <row r="122" spans="29:94" x14ac:dyDescent="0.35">
      <c r="AC122" s="19" t="s">
        <v>290</v>
      </c>
      <c r="AD122" s="2">
        <v>0</v>
      </c>
      <c r="AE122" s="2">
        <v>0</v>
      </c>
      <c r="AF122" s="2">
        <v>0</v>
      </c>
      <c r="AG122" s="2">
        <v>0</v>
      </c>
      <c r="AH122" s="2">
        <v>0</v>
      </c>
      <c r="AI122" s="2">
        <v>0</v>
      </c>
      <c r="AJ122" s="2">
        <v>5</v>
      </c>
      <c r="AK122" s="2">
        <v>0</v>
      </c>
      <c r="AL122" s="2">
        <v>0</v>
      </c>
      <c r="AM122" s="2">
        <v>0</v>
      </c>
      <c r="AN122" s="2">
        <v>0</v>
      </c>
      <c r="AO122" s="2">
        <v>1</v>
      </c>
      <c r="AP122" s="2">
        <v>0</v>
      </c>
      <c r="BZ122" s="2"/>
      <c r="CA122" s="19" t="s">
        <v>290</v>
      </c>
      <c r="CB122" s="2">
        <v>0</v>
      </c>
      <c r="CC122" s="2">
        <v>0</v>
      </c>
      <c r="CD122" s="2">
        <v>0</v>
      </c>
      <c r="CE122" s="2">
        <v>0</v>
      </c>
      <c r="CF122" s="2">
        <v>0</v>
      </c>
      <c r="CG122" s="2">
        <v>0</v>
      </c>
      <c r="CH122" s="2">
        <v>1</v>
      </c>
      <c r="CI122" s="2">
        <v>0</v>
      </c>
      <c r="CJ122" s="2">
        <v>0</v>
      </c>
      <c r="CK122" s="2">
        <v>0</v>
      </c>
      <c r="CL122" s="2">
        <v>0</v>
      </c>
      <c r="CM122" s="2">
        <v>0</v>
      </c>
      <c r="CN122" s="2">
        <v>0</v>
      </c>
      <c r="CP122" s="2"/>
    </row>
    <row r="123" spans="29:94" x14ac:dyDescent="0.35">
      <c r="AC123" s="19" t="s">
        <v>160</v>
      </c>
      <c r="AD123" s="2">
        <v>0</v>
      </c>
      <c r="AE123" s="2">
        <v>0</v>
      </c>
      <c r="AF123" s="2">
        <v>0</v>
      </c>
      <c r="AG123" s="2">
        <v>66</v>
      </c>
      <c r="AH123" s="2">
        <v>140</v>
      </c>
      <c r="AI123" s="2">
        <v>50</v>
      </c>
      <c r="AJ123" s="2">
        <v>24</v>
      </c>
      <c r="AK123" s="2">
        <v>0</v>
      </c>
      <c r="AL123" s="2">
        <v>0</v>
      </c>
      <c r="AM123" s="2">
        <v>0</v>
      </c>
      <c r="AN123" s="2">
        <v>0</v>
      </c>
      <c r="AO123" s="2">
        <v>0</v>
      </c>
      <c r="AP123" s="2">
        <v>0</v>
      </c>
      <c r="BZ123" s="2"/>
      <c r="CA123" s="19" t="s">
        <v>160</v>
      </c>
      <c r="CB123" s="2">
        <v>0</v>
      </c>
      <c r="CC123" s="2">
        <v>0</v>
      </c>
      <c r="CD123" s="2">
        <v>0</v>
      </c>
      <c r="CE123" s="2">
        <v>7</v>
      </c>
      <c r="CF123" s="2">
        <v>33</v>
      </c>
      <c r="CG123" s="2">
        <v>19</v>
      </c>
      <c r="CH123" s="2">
        <v>4</v>
      </c>
      <c r="CI123" s="2">
        <v>0</v>
      </c>
      <c r="CJ123" s="2">
        <v>0</v>
      </c>
      <c r="CK123" s="2">
        <v>0</v>
      </c>
      <c r="CL123" s="2">
        <v>0</v>
      </c>
      <c r="CM123" s="2">
        <v>0</v>
      </c>
      <c r="CN123" s="2">
        <v>0</v>
      </c>
      <c r="CP123" s="2"/>
    </row>
    <row r="124" spans="29:94" x14ac:dyDescent="0.35">
      <c r="AC124" s="19" t="s">
        <v>161</v>
      </c>
      <c r="AD124" s="2">
        <v>0</v>
      </c>
      <c r="AE124" s="2">
        <v>0</v>
      </c>
      <c r="AF124" s="2">
        <v>0</v>
      </c>
      <c r="AG124" s="2">
        <v>90</v>
      </c>
      <c r="AH124" s="2">
        <v>180</v>
      </c>
      <c r="AI124" s="2">
        <v>0</v>
      </c>
      <c r="AJ124" s="2">
        <v>0</v>
      </c>
      <c r="AK124" s="2">
        <v>0</v>
      </c>
      <c r="AL124" s="2">
        <v>0</v>
      </c>
      <c r="AM124" s="2">
        <v>0</v>
      </c>
      <c r="AN124" s="2">
        <v>0</v>
      </c>
      <c r="AO124" s="2">
        <v>0</v>
      </c>
      <c r="AP124" s="2">
        <v>0</v>
      </c>
      <c r="BZ124" s="2"/>
      <c r="CA124" s="19" t="s">
        <v>161</v>
      </c>
      <c r="CB124" s="2">
        <v>0</v>
      </c>
      <c r="CC124" s="2">
        <v>0</v>
      </c>
      <c r="CD124" s="2">
        <v>0</v>
      </c>
      <c r="CE124" s="2">
        <v>11</v>
      </c>
      <c r="CF124" s="2">
        <v>46</v>
      </c>
      <c r="CG124" s="2">
        <v>0</v>
      </c>
      <c r="CH124" s="2">
        <v>0</v>
      </c>
      <c r="CI124" s="2">
        <v>0</v>
      </c>
      <c r="CJ124" s="2">
        <v>0</v>
      </c>
      <c r="CK124" s="2">
        <v>0</v>
      </c>
      <c r="CL124" s="2">
        <v>0</v>
      </c>
      <c r="CM124" s="2">
        <v>0</v>
      </c>
      <c r="CN124" s="2">
        <v>0</v>
      </c>
      <c r="CP124" s="2"/>
    </row>
    <row r="125" spans="29:94" x14ac:dyDescent="0.35">
      <c r="AC125" s="19" t="s">
        <v>162</v>
      </c>
      <c r="AD125" s="2">
        <v>0</v>
      </c>
      <c r="AE125" s="2">
        <v>0</v>
      </c>
      <c r="AF125" s="2">
        <v>0</v>
      </c>
      <c r="AG125" s="2">
        <v>0</v>
      </c>
      <c r="AH125" s="2">
        <v>0</v>
      </c>
      <c r="AI125" s="2">
        <v>0</v>
      </c>
      <c r="AJ125" s="2">
        <v>0</v>
      </c>
      <c r="AK125" s="2">
        <v>0</v>
      </c>
      <c r="AL125" s="2">
        <v>0</v>
      </c>
      <c r="AM125" s="2">
        <v>0</v>
      </c>
      <c r="AN125" s="2">
        <v>0</v>
      </c>
      <c r="AO125" s="2">
        <v>0</v>
      </c>
      <c r="AP125" s="2">
        <v>0</v>
      </c>
      <c r="BZ125" s="2"/>
      <c r="CA125" s="19" t="s">
        <v>162</v>
      </c>
      <c r="CB125" s="2">
        <v>0</v>
      </c>
      <c r="CC125" s="2">
        <v>0</v>
      </c>
      <c r="CD125" s="2">
        <v>0</v>
      </c>
      <c r="CE125" s="2">
        <v>0</v>
      </c>
      <c r="CF125" s="2">
        <v>0</v>
      </c>
      <c r="CG125" s="2">
        <v>0</v>
      </c>
      <c r="CH125" s="2">
        <v>0</v>
      </c>
      <c r="CI125" s="2">
        <v>0</v>
      </c>
      <c r="CJ125" s="2">
        <v>0</v>
      </c>
      <c r="CK125" s="2">
        <v>0</v>
      </c>
      <c r="CL125" s="2">
        <v>0</v>
      </c>
      <c r="CM125" s="2">
        <v>0</v>
      </c>
      <c r="CN125" s="2">
        <v>0</v>
      </c>
      <c r="CP125" s="2"/>
    </row>
    <row r="126" spans="29:94" x14ac:dyDescent="0.35">
      <c r="AC126" s="19" t="s">
        <v>163</v>
      </c>
      <c r="AD126" s="2">
        <v>0</v>
      </c>
      <c r="AE126" s="2">
        <v>0</v>
      </c>
      <c r="AF126" s="2">
        <v>0</v>
      </c>
      <c r="AG126" s="2">
        <v>0</v>
      </c>
      <c r="AH126" s="2">
        <v>0</v>
      </c>
      <c r="AI126" s="2">
        <v>0</v>
      </c>
      <c r="AJ126" s="2">
        <v>0</v>
      </c>
      <c r="AK126" s="2">
        <v>0</v>
      </c>
      <c r="AL126" s="2">
        <v>0</v>
      </c>
      <c r="AM126" s="2">
        <v>0</v>
      </c>
      <c r="AN126" s="2">
        <v>0</v>
      </c>
      <c r="AO126" s="2">
        <v>0</v>
      </c>
      <c r="AP126" s="2">
        <v>0</v>
      </c>
      <c r="BZ126" s="2"/>
      <c r="CA126" s="19" t="s">
        <v>163</v>
      </c>
      <c r="CB126" s="2">
        <v>0</v>
      </c>
      <c r="CC126" s="2">
        <v>0</v>
      </c>
      <c r="CD126" s="2">
        <v>0</v>
      </c>
      <c r="CE126" s="2">
        <v>0</v>
      </c>
      <c r="CF126" s="2">
        <v>0</v>
      </c>
      <c r="CG126" s="2">
        <v>0</v>
      </c>
      <c r="CH126" s="2">
        <v>0</v>
      </c>
      <c r="CI126" s="2">
        <v>0</v>
      </c>
      <c r="CJ126" s="2">
        <v>0</v>
      </c>
      <c r="CK126" s="2">
        <v>0</v>
      </c>
      <c r="CL126" s="2">
        <v>0</v>
      </c>
      <c r="CM126" s="2">
        <v>0</v>
      </c>
      <c r="CN126" s="2">
        <v>0</v>
      </c>
      <c r="CP126" s="2"/>
    </row>
    <row r="127" spans="29:94" x14ac:dyDescent="0.35">
      <c r="AC127" s="19" t="s">
        <v>164</v>
      </c>
      <c r="AD127" s="2">
        <v>22</v>
      </c>
      <c r="AE127" s="2">
        <v>0</v>
      </c>
      <c r="AF127" s="2">
        <v>0</v>
      </c>
      <c r="AG127" s="2">
        <v>0</v>
      </c>
      <c r="AH127" s="2">
        <v>0</v>
      </c>
      <c r="AI127" s="2">
        <v>0</v>
      </c>
      <c r="AJ127" s="2">
        <v>0</v>
      </c>
      <c r="AK127" s="2">
        <v>0</v>
      </c>
      <c r="AL127" s="2">
        <v>0</v>
      </c>
      <c r="AM127" s="2">
        <v>0</v>
      </c>
      <c r="AN127" s="2">
        <v>0</v>
      </c>
      <c r="AO127" s="2">
        <v>0</v>
      </c>
      <c r="AP127" s="2">
        <v>0</v>
      </c>
      <c r="BZ127" s="2"/>
      <c r="CA127" s="19" t="s">
        <v>164</v>
      </c>
      <c r="CB127" s="2">
        <v>7</v>
      </c>
      <c r="CC127" s="2">
        <v>0</v>
      </c>
      <c r="CD127" s="2">
        <v>0</v>
      </c>
      <c r="CE127" s="2">
        <v>0</v>
      </c>
      <c r="CF127" s="2">
        <v>0</v>
      </c>
      <c r="CG127" s="2">
        <v>0</v>
      </c>
      <c r="CH127" s="2">
        <v>0</v>
      </c>
      <c r="CI127" s="2">
        <v>0</v>
      </c>
      <c r="CJ127" s="2">
        <v>0</v>
      </c>
      <c r="CK127" s="2">
        <v>0</v>
      </c>
      <c r="CL127" s="2">
        <v>0</v>
      </c>
      <c r="CM127" s="2">
        <v>0</v>
      </c>
      <c r="CN127" s="2">
        <v>0</v>
      </c>
      <c r="CP127" s="2"/>
    </row>
    <row r="128" spans="29:94" x14ac:dyDescent="0.35">
      <c r="AC128" s="19" t="s">
        <v>165</v>
      </c>
      <c r="AD128" s="2">
        <v>0</v>
      </c>
      <c r="AE128" s="2">
        <v>0</v>
      </c>
      <c r="AF128" s="2">
        <v>0</v>
      </c>
      <c r="AG128" s="2">
        <v>0</v>
      </c>
      <c r="AH128" s="2">
        <v>0</v>
      </c>
      <c r="AI128" s="2">
        <v>0</v>
      </c>
      <c r="AJ128" s="2">
        <v>0</v>
      </c>
      <c r="AK128" s="2">
        <v>0</v>
      </c>
      <c r="AL128" s="2">
        <v>0</v>
      </c>
      <c r="AM128" s="2">
        <v>0</v>
      </c>
      <c r="AN128" s="2">
        <v>0</v>
      </c>
      <c r="AO128" s="2">
        <v>0</v>
      </c>
      <c r="AP128" s="2">
        <v>0</v>
      </c>
      <c r="BZ128" s="2"/>
      <c r="CA128" s="19" t="s">
        <v>165</v>
      </c>
      <c r="CB128" s="2">
        <v>0</v>
      </c>
      <c r="CC128" s="2">
        <v>0</v>
      </c>
      <c r="CD128" s="2">
        <v>0</v>
      </c>
      <c r="CE128" s="2">
        <v>0</v>
      </c>
      <c r="CF128" s="2">
        <v>0</v>
      </c>
      <c r="CG128" s="2">
        <v>0</v>
      </c>
      <c r="CH128" s="2">
        <v>0</v>
      </c>
      <c r="CI128" s="2">
        <v>0</v>
      </c>
      <c r="CJ128" s="2">
        <v>0</v>
      </c>
      <c r="CK128" s="2">
        <v>0</v>
      </c>
      <c r="CL128" s="2">
        <v>0</v>
      </c>
      <c r="CM128" s="2">
        <v>0</v>
      </c>
      <c r="CN128" s="2">
        <v>0</v>
      </c>
      <c r="CP128" s="2"/>
    </row>
    <row r="129" spans="29:94" x14ac:dyDescent="0.35">
      <c r="AC129" s="19" t="s">
        <v>166</v>
      </c>
      <c r="AD129" s="2">
        <v>2</v>
      </c>
      <c r="AE129" s="2">
        <v>3</v>
      </c>
      <c r="AF129" s="2">
        <v>7</v>
      </c>
      <c r="AG129" s="2">
        <v>0</v>
      </c>
      <c r="AH129" s="2">
        <v>0</v>
      </c>
      <c r="AI129" s="2">
        <v>0</v>
      </c>
      <c r="AJ129" s="2">
        <v>4</v>
      </c>
      <c r="AK129" s="2">
        <v>0</v>
      </c>
      <c r="AL129" s="2">
        <v>0</v>
      </c>
      <c r="AM129" s="2">
        <v>0</v>
      </c>
      <c r="AN129" s="2">
        <v>0</v>
      </c>
      <c r="AO129" s="2">
        <v>0</v>
      </c>
      <c r="AP129" s="2">
        <v>0</v>
      </c>
      <c r="BZ129" s="2"/>
      <c r="CA129" s="19" t="s">
        <v>166</v>
      </c>
      <c r="CB129" s="2">
        <v>2</v>
      </c>
      <c r="CC129" s="2">
        <v>3</v>
      </c>
      <c r="CD129" s="2">
        <v>3</v>
      </c>
      <c r="CE129" s="2">
        <v>0</v>
      </c>
      <c r="CF129" s="2">
        <v>0</v>
      </c>
      <c r="CG129" s="2">
        <v>0</v>
      </c>
      <c r="CH129" s="2">
        <v>0</v>
      </c>
      <c r="CI129" s="2">
        <v>0</v>
      </c>
      <c r="CJ129" s="2">
        <v>0</v>
      </c>
      <c r="CK129" s="2">
        <v>0</v>
      </c>
      <c r="CL129" s="2">
        <v>0</v>
      </c>
      <c r="CM129" s="2">
        <v>0</v>
      </c>
      <c r="CN129" s="2">
        <v>0</v>
      </c>
      <c r="CP129" s="2"/>
    </row>
    <row r="130" spans="29:94" x14ac:dyDescent="0.35">
      <c r="AC130" s="19" t="s">
        <v>167</v>
      </c>
      <c r="AD130" s="2">
        <v>0</v>
      </c>
      <c r="AE130" s="2">
        <v>0</v>
      </c>
      <c r="AF130" s="2">
        <v>0</v>
      </c>
      <c r="AG130" s="2">
        <v>0</v>
      </c>
      <c r="AH130" s="2">
        <v>0</v>
      </c>
      <c r="AI130" s="2">
        <v>0</v>
      </c>
      <c r="AJ130" s="2">
        <v>0</v>
      </c>
      <c r="AK130" s="2">
        <v>0</v>
      </c>
      <c r="AL130" s="2">
        <v>0</v>
      </c>
      <c r="AM130" s="2">
        <v>0</v>
      </c>
      <c r="AN130" s="2">
        <v>0</v>
      </c>
      <c r="AO130" s="2">
        <v>0</v>
      </c>
      <c r="AP130" s="2">
        <v>0</v>
      </c>
      <c r="BZ130" s="2"/>
      <c r="CA130" s="19" t="s">
        <v>167</v>
      </c>
      <c r="CB130" s="2">
        <v>0</v>
      </c>
      <c r="CC130" s="2">
        <v>0</v>
      </c>
      <c r="CD130" s="2">
        <v>0</v>
      </c>
      <c r="CE130" s="2">
        <v>0</v>
      </c>
      <c r="CF130" s="2">
        <v>0</v>
      </c>
      <c r="CG130" s="2">
        <v>0</v>
      </c>
      <c r="CH130" s="2">
        <v>0</v>
      </c>
      <c r="CI130" s="2">
        <v>0</v>
      </c>
      <c r="CJ130" s="2">
        <v>0</v>
      </c>
      <c r="CK130" s="2">
        <v>0</v>
      </c>
      <c r="CL130" s="2">
        <v>0</v>
      </c>
      <c r="CM130" s="2">
        <v>0</v>
      </c>
      <c r="CN130" s="2">
        <v>0</v>
      </c>
      <c r="CP130" s="2"/>
    </row>
    <row r="131" spans="29:94" x14ac:dyDescent="0.35">
      <c r="AC131" s="19" t="s">
        <v>338</v>
      </c>
      <c r="AD131" s="2">
        <v>80</v>
      </c>
      <c r="AE131" s="2">
        <v>234</v>
      </c>
      <c r="AF131" s="2">
        <v>169</v>
      </c>
      <c r="AG131" s="2">
        <v>87</v>
      </c>
      <c r="AH131" s="2">
        <v>275</v>
      </c>
      <c r="AI131" s="2">
        <v>109</v>
      </c>
      <c r="AJ131" s="2">
        <v>37</v>
      </c>
      <c r="AK131" s="2">
        <v>36</v>
      </c>
      <c r="AL131" s="2">
        <v>18</v>
      </c>
      <c r="AM131" s="2">
        <v>36</v>
      </c>
      <c r="AN131" s="2">
        <v>12</v>
      </c>
      <c r="AO131" s="2">
        <v>60</v>
      </c>
      <c r="AP131" s="2">
        <v>39</v>
      </c>
      <c r="BZ131" s="2"/>
      <c r="CA131" s="19" t="s">
        <v>338</v>
      </c>
      <c r="CB131" s="2">
        <v>16</v>
      </c>
      <c r="CC131" s="2">
        <v>46</v>
      </c>
      <c r="CD131" s="2">
        <v>48</v>
      </c>
      <c r="CE131" s="2">
        <v>9</v>
      </c>
      <c r="CF131" s="2">
        <v>51</v>
      </c>
      <c r="CG131" s="2">
        <v>19</v>
      </c>
      <c r="CH131" s="2">
        <v>10</v>
      </c>
      <c r="CI131" s="2">
        <v>4</v>
      </c>
      <c r="CJ131" s="2">
        <v>3</v>
      </c>
      <c r="CK131" s="2">
        <v>1</v>
      </c>
      <c r="CL131" s="2">
        <v>3</v>
      </c>
      <c r="CM131" s="2">
        <v>3</v>
      </c>
      <c r="CN131" s="2">
        <v>2</v>
      </c>
      <c r="CP131" s="2"/>
    </row>
    <row r="132" spans="29:94" x14ac:dyDescent="0.35">
      <c r="BZ132" s="2"/>
      <c r="CP132" s="2"/>
    </row>
    <row r="133" spans="29:94" x14ac:dyDescent="0.35">
      <c r="BZ133" s="2"/>
      <c r="CP133" s="2"/>
    </row>
    <row r="134" spans="29:94" x14ac:dyDescent="0.35">
      <c r="BZ134" s="2"/>
      <c r="CP134" s="2"/>
    </row>
    <row r="135" spans="29:94" x14ac:dyDescent="0.35">
      <c r="BZ135" s="2"/>
      <c r="CP135" s="2"/>
    </row>
    <row r="136" spans="29:94" x14ac:dyDescent="0.35">
      <c r="BZ136" s="2"/>
      <c r="CP136" s="2"/>
    </row>
    <row r="137" spans="29:94" x14ac:dyDescent="0.35">
      <c r="BZ137" s="2"/>
      <c r="CP137" s="2"/>
    </row>
    <row r="138" spans="29:94" x14ac:dyDescent="0.35">
      <c r="BZ138" s="2"/>
      <c r="CP138" s="2"/>
    </row>
    <row r="139" spans="29:94" x14ac:dyDescent="0.35">
      <c r="BZ139" s="2"/>
      <c r="CP139" s="2"/>
    </row>
    <row r="140" spans="29:94" x14ac:dyDescent="0.35">
      <c r="BZ140" s="2"/>
      <c r="CP140" s="2"/>
    </row>
    <row r="141" spans="29:94" x14ac:dyDescent="0.35">
      <c r="BZ141" s="2"/>
      <c r="CP141" s="2"/>
    </row>
    <row r="142" spans="29:94" x14ac:dyDescent="0.35">
      <c r="AC142" s="27" t="s">
        <v>42</v>
      </c>
      <c r="AD142" s="27" t="s">
        <v>43</v>
      </c>
      <c r="AE142" s="27" t="s">
        <v>44</v>
      </c>
      <c r="AF142" s="27" t="s">
        <v>45</v>
      </c>
      <c r="AG142" s="27" t="s">
        <v>46</v>
      </c>
      <c r="AH142" s="27" t="s">
        <v>47</v>
      </c>
      <c r="AI142" s="27" t="s">
        <v>48</v>
      </c>
      <c r="AJ142" s="27" t="s">
        <v>49</v>
      </c>
      <c r="AK142" s="27" t="s">
        <v>50</v>
      </c>
      <c r="AL142" s="27" t="s">
        <v>51</v>
      </c>
      <c r="AM142" s="27" t="s">
        <v>52</v>
      </c>
      <c r="AN142" s="27" t="s">
        <v>53</v>
      </c>
      <c r="AO142" s="27" t="s">
        <v>54</v>
      </c>
      <c r="AP142" s="27" t="s">
        <v>55</v>
      </c>
      <c r="BZ142" s="2"/>
      <c r="CP142" s="2"/>
    </row>
    <row r="143" spans="29:94" x14ac:dyDescent="0.35">
      <c r="AC143" s="41">
        <f>IF((COUNTIF(AD7:AD140,"&gt;0"))=0,"",(COUNTIF(AD7:AD140,"&gt;0")))</f>
        <v>27</v>
      </c>
      <c r="AD143" s="41">
        <f>IF((COUNTIF(AE7:AE140,"&gt;0"))=0,"",(COUNTIF(AE7:AE140,"&gt;0")))</f>
        <v>36</v>
      </c>
      <c r="AE143" s="41">
        <f>IF((COUNTIF(AF7:AF140,"&gt;0"))=0,"",(COUNTIF(AF7:AF140,"&gt;0")))</f>
        <v>40</v>
      </c>
      <c r="AF143" s="41">
        <f t="shared" ref="AF143:AG143" si="18">IF((COUNTIF(AG7:AG140,"&gt;0"))=0,"",(COUNTIF(AG7:AG140,"&gt;0")))</f>
        <v>33</v>
      </c>
      <c r="AG143" s="41">
        <f t="shared" si="18"/>
        <v>29</v>
      </c>
      <c r="AH143" s="99">
        <f>IF((COUNTIF(AI7:AI140,"&gt;0"))=0,"",(COUNTIF(AI7:AI140,"&gt;0")))</f>
        <v>26</v>
      </c>
      <c r="AI143" s="99">
        <f t="shared" ref="AI143:AO143" si="19">IF((COUNTIF(AJ7:AJ140,"&gt;0"))=0,"",(COUNTIF(AJ7:AJ140,"&gt;0")))</f>
        <v>30</v>
      </c>
      <c r="AJ143" s="99">
        <f t="shared" si="19"/>
        <v>25</v>
      </c>
      <c r="AK143" s="99">
        <f t="shared" si="19"/>
        <v>29</v>
      </c>
      <c r="AL143" s="99">
        <f t="shared" si="19"/>
        <v>29</v>
      </c>
      <c r="AM143" s="99">
        <f t="shared" si="19"/>
        <v>29</v>
      </c>
      <c r="AN143" s="99">
        <f t="shared" si="19"/>
        <v>31</v>
      </c>
      <c r="AO143" s="99">
        <f t="shared" si="19"/>
        <v>33</v>
      </c>
      <c r="AP143" s="41" t="str">
        <f>IF((COUNTIF(AQ7:AQ140,"&gt;0"))=0,"",(COUNTIF(AQ7:AQ140,"&gt;0")))</f>
        <v/>
      </c>
      <c r="BZ143" s="2"/>
      <c r="CA143" s="27" t="s">
        <v>42</v>
      </c>
      <c r="CB143" s="27" t="s">
        <v>43</v>
      </c>
      <c r="CC143" s="27" t="s">
        <v>44</v>
      </c>
      <c r="CD143" s="27" t="s">
        <v>45</v>
      </c>
      <c r="CE143" s="27" t="s">
        <v>46</v>
      </c>
      <c r="CF143" s="27" t="s">
        <v>47</v>
      </c>
      <c r="CG143" s="27" t="s">
        <v>48</v>
      </c>
      <c r="CH143" s="27" t="s">
        <v>49</v>
      </c>
      <c r="CI143" s="27" t="s">
        <v>50</v>
      </c>
      <c r="CJ143" s="27" t="s">
        <v>51</v>
      </c>
      <c r="CK143" s="27" t="s">
        <v>52</v>
      </c>
      <c r="CL143" s="27" t="s">
        <v>53</v>
      </c>
      <c r="CM143" s="27" t="s">
        <v>54</v>
      </c>
      <c r="CN143" s="27" t="s">
        <v>55</v>
      </c>
      <c r="CP143" s="2"/>
    </row>
    <row r="144" spans="29:94" x14ac:dyDescent="0.35">
      <c r="BZ144" s="2"/>
      <c r="CA144" s="41">
        <f>IF((COUNTIF(CB7:CB140,"&gt;0"))=0,"",(COUNTIF(CB7:CB140,"&gt;0")))</f>
        <v>21</v>
      </c>
      <c r="CB144" s="41">
        <f>IF((COUNTIF(CC7:CC140,"&gt;0"))=0,"",(COUNTIF(CC7:CC140,"&gt;0")))</f>
        <v>24</v>
      </c>
      <c r="CC144" s="41">
        <f>IF((COUNTIF(CD7:CD140,"&gt;0"))=0,"",(COUNTIF(CD7:CD140,"&gt;0")))</f>
        <v>33</v>
      </c>
      <c r="CD144" s="41">
        <f>IF((COUNTIF(CE7:CE140,"&gt;0"))=0,"",(COUNTIF(CE7:CE140,"&gt;0")))</f>
        <v>26</v>
      </c>
      <c r="CE144" s="41">
        <f t="shared" ref="CE144:CM144" si="20">IF((COUNTIF(CF7:CF142,"&gt;0"))=0,"",(COUNTIF(CF7:CF142,"&gt;0")))</f>
        <v>22</v>
      </c>
      <c r="CF144" s="41">
        <f>IF((COUNTIF(CG7:CG142,"&gt;0"))=0,"",(COUNTIF(CG7:CG142,"&gt;0")))</f>
        <v>19</v>
      </c>
      <c r="CG144" s="41">
        <f t="shared" si="20"/>
        <v>21</v>
      </c>
      <c r="CH144" s="41">
        <f t="shared" si="20"/>
        <v>21</v>
      </c>
      <c r="CI144" s="41">
        <f t="shared" si="20"/>
        <v>24</v>
      </c>
      <c r="CJ144" s="41">
        <f t="shared" si="20"/>
        <v>25</v>
      </c>
      <c r="CK144" s="41">
        <f t="shared" si="20"/>
        <v>24</v>
      </c>
      <c r="CL144" s="41">
        <f t="shared" si="20"/>
        <v>23</v>
      </c>
      <c r="CM144" s="41">
        <f t="shared" si="20"/>
        <v>27</v>
      </c>
      <c r="CN144" s="41" t="str">
        <f>IF((COUNTIF(CO7:CO143,"&gt;0"))=0,"",(COUNTIF(CO7:CO143,"&gt;0")))</f>
        <v/>
      </c>
      <c r="CP144" s="2"/>
    </row>
    <row r="146" spans="78:94" x14ac:dyDescent="0.35">
      <c r="BZ146" s="27"/>
      <c r="CP146" s="27"/>
    </row>
    <row r="147" spans="78:94" x14ac:dyDescent="0.35">
      <c r="BZ147" s="41"/>
      <c r="CP147" s="41"/>
    </row>
  </sheetData>
  <mergeCells count="6">
    <mergeCell ref="CR1:CU1"/>
    <mergeCell ref="G1:Y1"/>
    <mergeCell ref="AC1:AQ1"/>
    <mergeCell ref="AS1:AV1"/>
    <mergeCell ref="BD1:BV1"/>
    <mergeCell ref="CA1:CO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U21"/>
  <sheetViews>
    <sheetView topLeftCell="AP1" zoomScale="70" zoomScaleNormal="70" workbookViewId="0">
      <selection activeCell="I8" sqref="I8"/>
    </sheetView>
  </sheetViews>
  <sheetFormatPr defaultRowHeight="14.5" x14ac:dyDescent="0.35"/>
  <cols>
    <col min="1" max="1" width="4.7265625" customWidth="1"/>
    <col min="2" max="2" width="9.1796875" style="41"/>
    <col min="3" max="3" width="17.26953125" style="41" bestFit="1" customWidth="1"/>
    <col min="4" max="4" width="11.81640625" style="41" bestFit="1" customWidth="1"/>
    <col min="5" max="5" width="7.08984375" style="41" bestFit="1" customWidth="1"/>
    <col min="6" max="6" width="9.1796875" style="41"/>
    <col min="9" max="9" width="17.26953125" bestFit="1" customWidth="1"/>
    <col min="10" max="10" width="21" bestFit="1" customWidth="1"/>
    <col min="11" max="11" width="8.453125" bestFit="1" customWidth="1"/>
    <col min="12" max="12" width="9.81640625" bestFit="1" customWidth="1"/>
    <col min="13" max="13" width="8.453125" bestFit="1" customWidth="1"/>
    <col min="14" max="14" width="11.1796875" bestFit="1" customWidth="1"/>
    <col min="15" max="15" width="8.453125" bestFit="1" customWidth="1"/>
    <col min="16" max="16" width="28.7265625" bestFit="1" customWidth="1"/>
    <col min="17" max="17" width="8.453125" bestFit="1" customWidth="1"/>
    <col min="18" max="18" width="13.36328125" bestFit="1" customWidth="1"/>
    <col min="19" max="19" width="8.453125" bestFit="1" customWidth="1"/>
    <col min="20" max="20" width="13.36328125" bestFit="1" customWidth="1"/>
    <col min="21" max="21" width="8.453125" bestFit="1" customWidth="1"/>
    <col min="22" max="22" width="13.90625" bestFit="1" customWidth="1"/>
    <col min="23" max="23" width="8.453125" bestFit="1" customWidth="1"/>
    <col min="24" max="24" width="12.90625" bestFit="1" customWidth="1"/>
    <col min="25" max="25" width="12.26953125" bestFit="1" customWidth="1"/>
    <col min="26" max="39" width="9" customWidth="1"/>
    <col min="40" max="40" width="17.26953125" bestFit="1" customWidth="1"/>
    <col min="41" max="41" width="11.81640625" bestFit="1" customWidth="1"/>
    <col min="42" max="42" width="7.08984375" bestFit="1" customWidth="1"/>
    <col min="46" max="46" width="17.26953125" bestFit="1" customWidth="1"/>
    <col min="47" max="47" width="21" bestFit="1" customWidth="1"/>
    <col min="48" max="48" width="8.453125" bestFit="1" customWidth="1"/>
    <col min="49" max="49" width="9.81640625" bestFit="1" customWidth="1"/>
    <col min="50" max="50" width="8.453125" bestFit="1" customWidth="1"/>
    <col min="51" max="51" width="11.1796875" bestFit="1" customWidth="1"/>
    <col min="52" max="52" width="8.453125" bestFit="1" customWidth="1"/>
    <col min="53" max="53" width="28.7265625" bestFit="1" customWidth="1"/>
    <col min="54" max="54" width="8.453125" bestFit="1" customWidth="1"/>
    <col min="55" max="55" width="13.36328125" bestFit="1" customWidth="1"/>
    <col min="56" max="56" width="8.453125" bestFit="1" customWidth="1"/>
    <col min="57" max="57" width="13.36328125" bestFit="1" customWidth="1"/>
    <col min="58" max="58" width="8.453125" bestFit="1" customWidth="1"/>
    <col min="59" max="59" width="13.90625" bestFit="1" customWidth="1"/>
    <col min="60" max="60" width="8.453125" bestFit="1" customWidth="1"/>
    <col min="61" max="61" width="12.90625" bestFit="1" customWidth="1"/>
    <col min="62" max="62" width="12.26953125" bestFit="1" customWidth="1"/>
    <col min="63" max="63" width="9" customWidth="1"/>
  </cols>
  <sheetData>
    <row r="1" spans="2:73" s="17" customFormat="1" x14ac:dyDescent="0.35">
      <c r="B1" s="37"/>
      <c r="C1" s="43" t="s">
        <v>276</v>
      </c>
      <c r="D1" s="43"/>
      <c r="E1" s="50"/>
      <c r="F1" s="50"/>
      <c r="H1" s="37"/>
      <c r="I1" s="43" t="s">
        <v>277</v>
      </c>
      <c r="J1" s="50"/>
      <c r="K1" s="50"/>
      <c r="L1" s="50"/>
      <c r="M1" s="50"/>
      <c r="N1" s="50"/>
      <c r="O1" s="50"/>
      <c r="P1" s="50"/>
      <c r="Q1" s="50"/>
      <c r="R1" s="50"/>
      <c r="S1" s="50"/>
      <c r="T1" s="50"/>
      <c r="U1" s="50"/>
      <c r="V1" s="111"/>
      <c r="W1" s="111"/>
      <c r="X1" s="111"/>
      <c r="Y1" s="111"/>
      <c r="Z1" s="111"/>
      <c r="AA1" s="50"/>
      <c r="AB1" s="50"/>
      <c r="AC1" s="50"/>
      <c r="AD1" s="50"/>
      <c r="AE1" s="50"/>
      <c r="AF1" s="50"/>
      <c r="AG1" s="50"/>
      <c r="AH1" s="50"/>
      <c r="AI1" s="50"/>
      <c r="AJ1" s="111"/>
      <c r="AK1" s="111"/>
      <c r="AL1" s="111"/>
      <c r="AM1" s="37"/>
      <c r="AN1" s="43" t="s">
        <v>262</v>
      </c>
      <c r="AO1" s="40"/>
      <c r="AP1" s="40"/>
      <c r="AQ1" s="40"/>
      <c r="AR1" s="40"/>
      <c r="AT1" s="55" t="s">
        <v>264</v>
      </c>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row>
    <row r="3" spans="2:73" x14ac:dyDescent="0.35">
      <c r="C3" s="18" t="s">
        <v>39</v>
      </c>
      <c r="D3" t="s" vm="1">
        <v>334</v>
      </c>
      <c r="E3"/>
      <c r="I3" s="18" t="s">
        <v>39</v>
      </c>
      <c r="J3" t="s" vm="1">
        <v>334</v>
      </c>
      <c r="AC3" t="s">
        <v>40</v>
      </c>
      <c r="AD3" t="s">
        <v>1</v>
      </c>
      <c r="AE3" t="s">
        <v>220</v>
      </c>
      <c r="AF3" t="s">
        <v>249</v>
      </c>
      <c r="AG3" t="s">
        <v>217</v>
      </c>
      <c r="AH3" t="s">
        <v>218</v>
      </c>
      <c r="AI3" t="s">
        <v>252</v>
      </c>
      <c r="AJ3" t="s">
        <v>251</v>
      </c>
      <c r="AN3" s="18" t="s">
        <v>39</v>
      </c>
      <c r="AO3" t="s" vm="1">
        <v>334</v>
      </c>
      <c r="AT3" s="18" t="s">
        <v>39</v>
      </c>
      <c r="AU3" t="s" vm="1">
        <v>334</v>
      </c>
    </row>
    <row r="4" spans="2:73" x14ac:dyDescent="0.35">
      <c r="C4"/>
      <c r="D4"/>
      <c r="E4"/>
      <c r="AB4" t="s">
        <v>42</v>
      </c>
      <c r="AC4" s="28">
        <f>VLOOKUP($AB4,$I$8:$Y$1048576,17,FALSE)/VLOOKUP($AB4,$I$8:$Y$1048576,16,FALSE)</f>
        <v>0.80811728946897909</v>
      </c>
      <c r="AD4" s="28">
        <f>VLOOKUP($AB4,$I$8:$Y$1048576,5,FALSE)/VLOOKUP($AB4,$I$8:$Y$1048576,4,FALSE)</f>
        <v>0.8745358910891089</v>
      </c>
      <c r="AE4" s="28">
        <f>VLOOKUP($AB4,$I$8:$Y$1048576,7,FALSE)/VLOOKUP($AB4,$I$8:$Y$1048576,6,FALSE)</f>
        <v>0.78993764781767362</v>
      </c>
      <c r="AF4" s="28">
        <f>VLOOKUP($AB4,$I$8:$Y$1048576,9,FALSE)/VLOOKUP($AB4,$I$8:$Y$1048576,8,FALSE)</f>
        <v>0.79353123615418697</v>
      </c>
      <c r="AG4" s="28">
        <f>VLOOKUP($AB4,$I$8:$Y$1048576,13,FALSE)/VLOOKUP($AB4,$I$8:$Y$1048576,12,FALSE)</f>
        <v>0.82112436115843268</v>
      </c>
      <c r="AH4" s="28">
        <f>VLOOKUP($AB4,$I$8:$Y$1048576,15,FALSE)/VLOOKUP($AB4,$I$8:$Y$1048576,14,FALSE)</f>
        <v>0.79423328964613371</v>
      </c>
      <c r="AI4" s="28">
        <f>VLOOKUP($AB4,$I$8:$Y$1048576,3,FALSE)/VLOOKUP($AB4,$I$8:$Y$1048576,2,FALSE)</f>
        <v>0.77688368690563281</v>
      </c>
      <c r="AJ4" s="28">
        <f>VLOOKUP($AB4,$I$8:$Y$1048576,11,FALSE)/VLOOKUP($AB4,$I$8:$Y$1048576,10,FALSE)</f>
        <v>0.75336322869955152</v>
      </c>
      <c r="AK4" s="45"/>
      <c r="AL4" s="45"/>
    </row>
    <row r="5" spans="2:73" x14ac:dyDescent="0.35">
      <c r="C5" s="18" t="s">
        <v>37</v>
      </c>
      <c r="D5" t="s">
        <v>176</v>
      </c>
      <c r="E5" t="s">
        <v>178</v>
      </c>
      <c r="J5" s="18" t="s">
        <v>41</v>
      </c>
      <c r="AB5" t="s">
        <v>43</v>
      </c>
      <c r="AC5" s="28">
        <f t="shared" ref="AC5:AC16" si="0">VLOOKUP($AB5,$I$8:$Y$1048576,17,FALSE)/VLOOKUP($AB5,$I$8:$Y$1048576,16,FALSE)</f>
        <v>0.80814511826427171</v>
      </c>
      <c r="AD5" s="28">
        <f t="shared" ref="AD5:AD16" si="1">VLOOKUP($AB5,$I$8:$Y$1048576,5,FALSE)/VLOOKUP($AB5,$I$8:$Y$1048576,4,FALSE)</f>
        <v>0.88107773304428616</v>
      </c>
      <c r="AE5" s="28">
        <f t="shared" ref="AE5:AE16" si="2">VLOOKUP($AB5,$I$8:$Y$1048576,7,FALSE)/VLOOKUP($AB5,$I$8:$Y$1048576,6,FALSE)</f>
        <v>0.78161161371765198</v>
      </c>
      <c r="AF5" s="28">
        <f t="shared" ref="AF5:AF16" si="3">VLOOKUP($AB5,$I$8:$Y$1048576,9,FALSE)/VLOOKUP($AB5,$I$8:$Y$1048576,8,FALSE)</f>
        <v>0.79095920617420068</v>
      </c>
      <c r="AG5" s="28">
        <f t="shared" ref="AG5:AG16" si="4">VLOOKUP($AB5,$I$8:$Y$1048576,13,FALSE)/VLOOKUP($AB5,$I$8:$Y$1048576,12,FALSE)</f>
        <v>0.80419773543220108</v>
      </c>
      <c r="AH5" s="28">
        <f t="shared" ref="AH5:AH16" si="5">VLOOKUP($AB5,$I$8:$Y$1048576,15,FALSE)/VLOOKUP($AB5,$I$8:$Y$1048576,14,FALSE)</f>
        <v>0.77399650959860389</v>
      </c>
      <c r="AI5" s="28">
        <f t="shared" ref="AI5:AI16" si="6">VLOOKUP($AB5,$I$8:$Y$1048576,3,FALSE)/VLOOKUP($AB5,$I$8:$Y$1048576,2,FALSE)</f>
        <v>0.79649645918747669</v>
      </c>
      <c r="AJ5" s="28">
        <f t="shared" ref="AJ5:AJ16" si="7">VLOOKUP($AB5,$I$8:$Y$1048576,11,FALSE)/VLOOKUP($AB5,$I$8:$Y$1048576,10,FALSE)</f>
        <v>0.77020938245428039</v>
      </c>
      <c r="AK5" s="45"/>
      <c r="AL5" s="45"/>
      <c r="AN5" s="18" t="s">
        <v>37</v>
      </c>
      <c r="AO5" t="s">
        <v>176</v>
      </c>
      <c r="AP5" t="s">
        <v>178</v>
      </c>
      <c r="AU5" s="18" t="s">
        <v>41</v>
      </c>
      <c r="BN5" t="s">
        <v>40</v>
      </c>
      <c r="BO5" t="s">
        <v>1</v>
      </c>
      <c r="BP5" t="s">
        <v>220</v>
      </c>
      <c r="BQ5" t="s">
        <v>249</v>
      </c>
      <c r="BR5" t="s">
        <v>217</v>
      </c>
      <c r="BS5" t="s">
        <v>218</v>
      </c>
      <c r="BT5" t="s">
        <v>252</v>
      </c>
      <c r="BU5" t="s">
        <v>251</v>
      </c>
    </row>
    <row r="6" spans="2:73" x14ac:dyDescent="0.35">
      <c r="B6" s="28"/>
      <c r="C6" s="19">
        <v>1</v>
      </c>
      <c r="D6" s="2">
        <v>27965</v>
      </c>
      <c r="E6" s="2">
        <v>22599</v>
      </c>
      <c r="F6" s="28">
        <f>E6/D6</f>
        <v>0.80811728946897909</v>
      </c>
      <c r="H6" s="28"/>
      <c r="J6" t="s">
        <v>282</v>
      </c>
      <c r="L6" t="s">
        <v>1</v>
      </c>
      <c r="N6" t="s">
        <v>220</v>
      </c>
      <c r="P6" t="s">
        <v>253</v>
      </c>
      <c r="R6" t="s">
        <v>250</v>
      </c>
      <c r="T6" t="s">
        <v>217</v>
      </c>
      <c r="V6" t="s">
        <v>218</v>
      </c>
      <c r="X6" t="s">
        <v>175</v>
      </c>
      <c r="Y6" t="s">
        <v>177</v>
      </c>
      <c r="AB6" t="s">
        <v>44</v>
      </c>
      <c r="AC6" s="28">
        <f t="shared" si="0"/>
        <v>0.80029891110952955</v>
      </c>
      <c r="AD6" s="28">
        <f t="shared" si="1"/>
        <v>0.86216423637759021</v>
      </c>
      <c r="AE6" s="28">
        <f t="shared" si="2"/>
        <v>0.78322887400043228</v>
      </c>
      <c r="AF6" s="28">
        <f t="shared" si="3"/>
        <v>0.76629955947136563</v>
      </c>
      <c r="AG6" s="28">
        <f t="shared" si="4"/>
        <v>0.79582302830447926</v>
      </c>
      <c r="AH6" s="28">
        <f t="shared" si="5"/>
        <v>0.79142730888201507</v>
      </c>
      <c r="AI6" s="28">
        <f t="shared" si="6"/>
        <v>0.79832848837209303</v>
      </c>
      <c r="AJ6" s="28">
        <f t="shared" si="7"/>
        <v>0.76633032395114176</v>
      </c>
      <c r="AK6" s="45"/>
      <c r="AL6" s="45"/>
      <c r="AN6" s="19">
        <v>1</v>
      </c>
      <c r="AO6" s="2">
        <v>27965</v>
      </c>
      <c r="AP6" s="2">
        <v>22599</v>
      </c>
      <c r="AQ6" s="20">
        <f>(AO6-AP6)/4</f>
        <v>1341.5</v>
      </c>
      <c r="AR6" s="20"/>
      <c r="AU6" t="s">
        <v>282</v>
      </c>
      <c r="AW6" t="s">
        <v>1</v>
      </c>
      <c r="AY6" t="s">
        <v>220</v>
      </c>
      <c r="BA6" t="s">
        <v>253</v>
      </c>
      <c r="BC6" t="s">
        <v>250</v>
      </c>
      <c r="BE6" t="s">
        <v>217</v>
      </c>
      <c r="BG6" t="s">
        <v>218</v>
      </c>
      <c r="BI6" t="s">
        <v>175</v>
      </c>
      <c r="BJ6" t="s">
        <v>177</v>
      </c>
      <c r="BM6" s="41" t="s">
        <v>42</v>
      </c>
      <c r="BN6" s="25">
        <f>(VLOOKUP($BM6,$AT$8:$BJ$1048576,16,FALSE)-VLOOKUP($BM6,$AT$8:$BJ$1048576,17,FALSE))/7</f>
        <v>766.57142857142856</v>
      </c>
      <c r="BO6" s="25">
        <f>(VLOOKUP($BM6,$AT$8:$BJ$1048576,4,FALSE)-VLOOKUP($BM6,$AT$8:$BJ$1048576,5,FALSE))/7</f>
        <v>115.85714285714286</v>
      </c>
      <c r="BP6" s="25">
        <f>(VLOOKUP($BM6,$AT$8:$BJ$1048576,6,FALSE)-VLOOKUP($BM6,$AT$8:$BJ$1048576,7,FALSE))/7</f>
        <v>139.57142857142858</v>
      </c>
      <c r="BQ6" s="25">
        <f>(VLOOKUP($BM6,$AT$8:$BJ$1048576,8,FALSE)-VLOOKUP($BM6,$AT$8:$BJ$1048576,9,FALSE))/7</f>
        <v>133.14285714285714</v>
      </c>
      <c r="BR6" s="25">
        <f>(VLOOKUP($BM6,$AT$8:$BJ$1048576,12,FALSE)-VLOOKUP($BM6,$AT$8:$BJ$1048576,13,FALSE))/7</f>
        <v>90</v>
      </c>
      <c r="BS6" s="25">
        <f>(VLOOKUP($BM6,$AT$8:$BJ$1048576,14,FALSE)-VLOOKUP($BM6,$AT$8:$BJ$1048576,15,FALSE))/7</f>
        <v>67.285714285714292</v>
      </c>
      <c r="BT6" s="25">
        <f>(VLOOKUP($BM6,$AT$8:$BJ$1048576,2,FALSE)-VLOOKUP($BM6,$AT$8:$BJ$1048576,3,FALSE))/7</f>
        <v>87.142857142857139</v>
      </c>
      <c r="BU6" s="25">
        <f>(VLOOKUP($BM6,$AT$8:$BJ$1048576,10,FALSE)-VLOOKUP($BM6,$AT$8:$BJ$1048576,11,FALSE))/7</f>
        <v>133.57142857142858</v>
      </c>
    </row>
    <row r="7" spans="2:73" x14ac:dyDescent="0.35">
      <c r="B7" s="28"/>
      <c r="C7" s="19">
        <v>2</v>
      </c>
      <c r="D7" s="2">
        <v>28115</v>
      </c>
      <c r="E7" s="2">
        <v>22721</v>
      </c>
      <c r="F7" s="28">
        <f t="shared" ref="F7:F20" si="8">E7/D7</f>
        <v>0.80814511826427171</v>
      </c>
      <c r="H7" s="28"/>
      <c r="I7" s="18" t="s">
        <v>37</v>
      </c>
      <c r="J7" t="s">
        <v>176</v>
      </c>
      <c r="K7" t="s">
        <v>178</v>
      </c>
      <c r="L7" t="s">
        <v>176</v>
      </c>
      <c r="M7" t="s">
        <v>178</v>
      </c>
      <c r="N7" t="s">
        <v>176</v>
      </c>
      <c r="O7" t="s">
        <v>178</v>
      </c>
      <c r="P7" t="s">
        <v>176</v>
      </c>
      <c r="Q7" t="s">
        <v>178</v>
      </c>
      <c r="R7" t="s">
        <v>176</v>
      </c>
      <c r="S7" t="s">
        <v>178</v>
      </c>
      <c r="T7" t="s">
        <v>176</v>
      </c>
      <c r="U7" t="s">
        <v>178</v>
      </c>
      <c r="V7" t="s">
        <v>176</v>
      </c>
      <c r="W7" t="s">
        <v>178</v>
      </c>
      <c r="AB7" t="s">
        <v>45</v>
      </c>
      <c r="AC7" s="28">
        <f t="shared" si="0"/>
        <v>0.75371649726914314</v>
      </c>
      <c r="AD7" s="28">
        <f t="shared" si="1"/>
        <v>0.81420428285318136</v>
      </c>
      <c r="AE7" s="28">
        <f t="shared" si="2"/>
        <v>0.73764679813871037</v>
      </c>
      <c r="AF7" s="28">
        <f t="shared" si="3"/>
        <v>0.71641459074733094</v>
      </c>
      <c r="AG7" s="28">
        <f t="shared" si="4"/>
        <v>0.76436140546569997</v>
      </c>
      <c r="AH7" s="28">
        <f t="shared" si="5"/>
        <v>0.74342984409799551</v>
      </c>
      <c r="AI7" s="28">
        <f t="shared" si="6"/>
        <v>0.77157360406091369</v>
      </c>
      <c r="AJ7" s="28">
        <f t="shared" si="7"/>
        <v>0.69693741677762988</v>
      </c>
      <c r="AK7" s="45"/>
      <c r="AL7" s="45"/>
      <c r="AN7" s="19">
        <v>2</v>
      </c>
      <c r="AO7" s="2">
        <v>28115</v>
      </c>
      <c r="AP7" s="2">
        <v>22721</v>
      </c>
      <c r="AQ7" s="20">
        <f>(AO7-AP7)/7</f>
        <v>770.57142857142856</v>
      </c>
      <c r="AR7" s="20"/>
      <c r="AT7" s="18" t="s">
        <v>37</v>
      </c>
      <c r="AU7" t="s">
        <v>176</v>
      </c>
      <c r="AV7" t="s">
        <v>178</v>
      </c>
      <c r="AW7" t="s">
        <v>176</v>
      </c>
      <c r="AX7" t="s">
        <v>178</v>
      </c>
      <c r="AY7" t="s">
        <v>176</v>
      </c>
      <c r="AZ7" t="s">
        <v>178</v>
      </c>
      <c r="BA7" t="s">
        <v>176</v>
      </c>
      <c r="BB7" t="s">
        <v>178</v>
      </c>
      <c r="BC7" t="s">
        <v>176</v>
      </c>
      <c r="BD7" t="s">
        <v>178</v>
      </c>
      <c r="BE7" t="s">
        <v>176</v>
      </c>
      <c r="BF7" t="s">
        <v>178</v>
      </c>
      <c r="BG7" t="s">
        <v>176</v>
      </c>
      <c r="BH7" t="s">
        <v>178</v>
      </c>
      <c r="BM7" s="41" t="s">
        <v>43</v>
      </c>
      <c r="BN7" s="25">
        <f t="shared" ref="BN7:BN18" si="9">(VLOOKUP($BM7,$AT$8:$BJ$1048576,16,FALSE)-VLOOKUP($BM7,$AT$8:$BJ$1048576,17,FALSE))/7</f>
        <v>770.57142857142856</v>
      </c>
      <c r="BO7" s="25">
        <f t="shared" ref="BO7:BO18" si="10">(VLOOKUP($BM7,$AT$8:$BJ$1048576,4,FALSE)-VLOOKUP($BM7,$AT$8:$BJ$1048576,5,FALSE))/7</f>
        <v>109.71428571428571</v>
      </c>
      <c r="BP7" s="25">
        <f t="shared" ref="BP7:BP18" si="11">(VLOOKUP($BM7,$AT$8:$BJ$1048576,6,FALSE)-VLOOKUP($BM7,$AT$8:$BJ$1048576,7,FALSE))/7</f>
        <v>148.28571428571428</v>
      </c>
      <c r="BQ7" s="25">
        <f t="shared" ref="BQ7:BQ18" si="12">(VLOOKUP($BM7,$AT$8:$BJ$1048576,8,FALSE)-VLOOKUP($BM7,$AT$8:$BJ$1048576,9,FALSE))/7</f>
        <v>135.42857142857142</v>
      </c>
      <c r="BR7" s="25">
        <f t="shared" ref="BR7:BR18" si="13">(VLOOKUP($BM7,$AT$8:$BJ$1048576,12,FALSE)-VLOOKUP($BM7,$AT$8:$BJ$1048576,13,FALSE))/7</f>
        <v>101.28571428571429</v>
      </c>
      <c r="BS7" s="25">
        <f t="shared" ref="BS7:BS18" si="14">(VLOOKUP($BM7,$AT$8:$BJ$1048576,14,FALSE)-VLOOKUP($BM7,$AT$8:$BJ$1048576,15,FALSE))/7</f>
        <v>74</v>
      </c>
      <c r="BT7" s="25">
        <f t="shared" ref="BT7:BT18" si="15">(VLOOKUP($BM7,$AT$8:$BJ$1048576,2,FALSE)-VLOOKUP($BM7,$AT$8:$BJ$1048576,3,FALSE))/7</f>
        <v>78</v>
      </c>
      <c r="BU7" s="25">
        <f t="shared" ref="BU7:BU17" si="16">(VLOOKUP($BM7,$AT$8:$BJ$1048576,10,FALSE)-VLOOKUP($BM7,$AT$8:$BJ$1048576,11,FALSE))/7</f>
        <v>123.85714285714286</v>
      </c>
    </row>
    <row r="8" spans="2:73" x14ac:dyDescent="0.35">
      <c r="B8" s="28"/>
      <c r="C8" s="19">
        <v>3</v>
      </c>
      <c r="D8" s="2">
        <v>28102</v>
      </c>
      <c r="E8" s="2">
        <v>22490</v>
      </c>
      <c r="F8" s="28">
        <f t="shared" si="8"/>
        <v>0.80029891110952955</v>
      </c>
      <c r="H8" s="28"/>
      <c r="I8" s="19" t="s">
        <v>42</v>
      </c>
      <c r="J8" s="2">
        <v>2734</v>
      </c>
      <c r="K8" s="2">
        <v>2124</v>
      </c>
      <c r="L8" s="2">
        <v>6464</v>
      </c>
      <c r="M8" s="2">
        <v>5653</v>
      </c>
      <c r="N8" s="2">
        <v>4651</v>
      </c>
      <c r="O8" s="2">
        <v>3674</v>
      </c>
      <c r="P8" s="2">
        <v>4514</v>
      </c>
      <c r="Q8" s="2">
        <v>3582</v>
      </c>
      <c r="R8" s="2">
        <v>3791</v>
      </c>
      <c r="S8" s="2">
        <v>2856</v>
      </c>
      <c r="T8" s="2">
        <v>3522</v>
      </c>
      <c r="U8" s="2">
        <v>2892</v>
      </c>
      <c r="V8" s="2">
        <v>2289</v>
      </c>
      <c r="W8" s="2">
        <v>1818</v>
      </c>
      <c r="X8" s="2">
        <v>27965</v>
      </c>
      <c r="Y8" s="2">
        <v>22599</v>
      </c>
      <c r="Z8" s="2"/>
      <c r="AA8" s="2"/>
      <c r="AB8" s="20" t="s">
        <v>46</v>
      </c>
      <c r="AC8" s="28">
        <f t="shared" si="0"/>
        <v>0.75192175827348517</v>
      </c>
      <c r="AD8" s="28">
        <f t="shared" si="1"/>
        <v>0.82065133508257448</v>
      </c>
      <c r="AE8" s="28">
        <f t="shared" si="2"/>
        <v>0.71803930227423274</v>
      </c>
      <c r="AF8" s="28">
        <f t="shared" si="3"/>
        <v>0.71256952169076748</v>
      </c>
      <c r="AG8" s="28">
        <f t="shared" si="4"/>
        <v>0.78073368804256515</v>
      </c>
      <c r="AH8" s="28">
        <f t="shared" si="5"/>
        <v>0.75121305690339657</v>
      </c>
      <c r="AI8" s="28">
        <f>VLOOKUP($AB8,$I$8:$Y$1048576,3,FALSE)/VLOOKUP($AB8,$I$8:$Y$1048576,2,FALSE)</f>
        <v>0.7604881769641495</v>
      </c>
      <c r="AJ8" s="28">
        <f t="shared" si="7"/>
        <v>0.68820074746396154</v>
      </c>
      <c r="AK8" s="45"/>
      <c r="AL8" s="45"/>
      <c r="AM8" s="2"/>
      <c r="AN8" s="19">
        <v>3</v>
      </c>
      <c r="AO8" s="2">
        <v>28102</v>
      </c>
      <c r="AP8" s="2">
        <v>22490</v>
      </c>
      <c r="AQ8" s="20">
        <f t="shared" ref="AQ8:AQ19" si="17">(AO8-AP8)/7</f>
        <v>801.71428571428567</v>
      </c>
      <c r="AR8" s="20"/>
      <c r="AT8" s="19" t="s">
        <v>42</v>
      </c>
      <c r="AU8" s="2">
        <v>2734</v>
      </c>
      <c r="AV8" s="2">
        <v>2124</v>
      </c>
      <c r="AW8" s="2">
        <v>6464</v>
      </c>
      <c r="AX8" s="2">
        <v>5653</v>
      </c>
      <c r="AY8" s="2">
        <v>4651</v>
      </c>
      <c r="AZ8" s="2">
        <v>3674</v>
      </c>
      <c r="BA8" s="2">
        <v>4514</v>
      </c>
      <c r="BB8" s="2">
        <v>3582</v>
      </c>
      <c r="BC8" s="2">
        <v>3791</v>
      </c>
      <c r="BD8" s="2">
        <v>2856</v>
      </c>
      <c r="BE8" s="2">
        <v>3522</v>
      </c>
      <c r="BF8" s="2">
        <v>2892</v>
      </c>
      <c r="BG8" s="2">
        <v>2289</v>
      </c>
      <c r="BH8" s="2">
        <v>1818</v>
      </c>
      <c r="BI8" s="2">
        <v>27965</v>
      </c>
      <c r="BJ8" s="2">
        <v>22599</v>
      </c>
      <c r="BK8" s="2"/>
      <c r="BM8" s="41" t="s">
        <v>44</v>
      </c>
      <c r="BN8" s="25">
        <f t="shared" si="9"/>
        <v>801.71428571428567</v>
      </c>
      <c r="BO8" s="25">
        <f t="shared" si="10"/>
        <v>128.28571428571428</v>
      </c>
      <c r="BP8" s="25">
        <f t="shared" si="11"/>
        <v>143.28571428571428</v>
      </c>
      <c r="BQ8" s="25">
        <f t="shared" si="12"/>
        <v>151.57142857142858</v>
      </c>
      <c r="BR8" s="25">
        <f t="shared" si="13"/>
        <v>106.14285714285714</v>
      </c>
      <c r="BS8" s="25">
        <f t="shared" si="14"/>
        <v>67.428571428571431</v>
      </c>
      <c r="BT8" s="25">
        <f t="shared" si="15"/>
        <v>79.285714285714292</v>
      </c>
      <c r="BU8" s="25">
        <f t="shared" si="16"/>
        <v>125.71428571428571</v>
      </c>
    </row>
    <row r="9" spans="2:73" x14ac:dyDescent="0.35">
      <c r="B9" s="28"/>
      <c r="C9" s="19">
        <v>4</v>
      </c>
      <c r="D9" s="2">
        <v>27647</v>
      </c>
      <c r="E9" s="2">
        <v>20838</v>
      </c>
      <c r="F9" s="28">
        <f>E9/D9</f>
        <v>0.75371649726914314</v>
      </c>
      <c r="H9" s="28"/>
      <c r="I9" s="19" t="s">
        <v>51</v>
      </c>
      <c r="J9" s="2">
        <v>2556</v>
      </c>
      <c r="K9" s="2">
        <v>1841</v>
      </c>
      <c r="L9" s="2">
        <v>6637</v>
      </c>
      <c r="M9" s="2">
        <v>5280</v>
      </c>
      <c r="N9" s="2">
        <v>4584</v>
      </c>
      <c r="O9" s="2">
        <v>3318</v>
      </c>
      <c r="P9" s="2">
        <v>4468</v>
      </c>
      <c r="Q9" s="2">
        <v>3141</v>
      </c>
      <c r="R9" s="2">
        <v>3635</v>
      </c>
      <c r="S9" s="2">
        <v>2678</v>
      </c>
      <c r="T9" s="2">
        <v>3522</v>
      </c>
      <c r="U9" s="2">
        <v>2829</v>
      </c>
      <c r="V9" s="2">
        <v>2261</v>
      </c>
      <c r="W9" s="2">
        <v>1710</v>
      </c>
      <c r="X9" s="2">
        <v>27663</v>
      </c>
      <c r="Y9" s="2">
        <v>20797</v>
      </c>
      <c r="Z9" s="2"/>
      <c r="AA9" s="2"/>
      <c r="AB9" s="20" t="s">
        <v>47</v>
      </c>
      <c r="AC9" s="28">
        <f t="shared" si="0"/>
        <v>0.77579905403468541</v>
      </c>
      <c r="AD9" s="28">
        <f t="shared" si="1"/>
        <v>0.85031504533579227</v>
      </c>
      <c r="AE9" s="28">
        <f t="shared" si="2"/>
        <v>0.75668508287292813</v>
      </c>
      <c r="AF9" s="28">
        <f t="shared" si="3"/>
        <v>0.73698205185021048</v>
      </c>
      <c r="AG9" s="28">
        <f t="shared" si="4"/>
        <v>0.7781180400890868</v>
      </c>
      <c r="AH9" s="28">
        <f t="shared" si="5"/>
        <v>0.77010989010989006</v>
      </c>
      <c r="AI9" s="28">
        <f t="shared" si="6"/>
        <v>0.77146001467351433</v>
      </c>
      <c r="AJ9" s="28">
        <f t="shared" si="7"/>
        <v>0.72095490716180366</v>
      </c>
      <c r="AK9" s="45"/>
      <c r="AL9" s="45"/>
      <c r="AM9" s="2"/>
      <c r="AN9" s="19">
        <v>4</v>
      </c>
      <c r="AO9" s="2">
        <v>27647</v>
      </c>
      <c r="AP9" s="2">
        <v>20838</v>
      </c>
      <c r="AQ9" s="20">
        <f t="shared" si="17"/>
        <v>972.71428571428567</v>
      </c>
      <c r="AR9" s="20"/>
      <c r="AT9" s="19" t="s">
        <v>51</v>
      </c>
      <c r="AU9" s="2">
        <v>2556</v>
      </c>
      <c r="AV9" s="2">
        <v>1841</v>
      </c>
      <c r="AW9" s="2">
        <v>6637</v>
      </c>
      <c r="AX9" s="2">
        <v>5280</v>
      </c>
      <c r="AY9" s="2">
        <v>4584</v>
      </c>
      <c r="AZ9" s="2">
        <v>3318</v>
      </c>
      <c r="BA9" s="2">
        <v>4468</v>
      </c>
      <c r="BB9" s="2">
        <v>3141</v>
      </c>
      <c r="BC9" s="2">
        <v>3635</v>
      </c>
      <c r="BD9" s="2">
        <v>2678</v>
      </c>
      <c r="BE9" s="2">
        <v>3522</v>
      </c>
      <c r="BF9" s="2">
        <v>2829</v>
      </c>
      <c r="BG9" s="2">
        <v>2261</v>
      </c>
      <c r="BH9" s="2">
        <v>1710</v>
      </c>
      <c r="BI9" s="2">
        <v>27663</v>
      </c>
      <c r="BJ9" s="2">
        <v>20797</v>
      </c>
      <c r="BK9" s="2"/>
      <c r="BM9" s="41" t="s">
        <v>45</v>
      </c>
      <c r="BN9" s="25">
        <f t="shared" si="9"/>
        <v>972.71428571428567</v>
      </c>
      <c r="BO9" s="25">
        <f t="shared" si="10"/>
        <v>172.28571428571428</v>
      </c>
      <c r="BP9" s="25">
        <f t="shared" si="11"/>
        <v>169.14285714285714</v>
      </c>
      <c r="BQ9" s="25">
        <f t="shared" si="12"/>
        <v>182.14285714285714</v>
      </c>
      <c r="BR9" s="25">
        <f t="shared" si="13"/>
        <v>120.71428571428571</v>
      </c>
      <c r="BS9" s="25">
        <f t="shared" si="14"/>
        <v>82.285714285714292</v>
      </c>
      <c r="BT9" s="25">
        <f t="shared" si="15"/>
        <v>83.571428571428569</v>
      </c>
      <c r="BU9" s="25">
        <f t="shared" si="16"/>
        <v>162.57142857142858</v>
      </c>
    </row>
    <row r="10" spans="2:73" x14ac:dyDescent="0.35">
      <c r="B10" s="28"/>
      <c r="C10" s="19">
        <v>5</v>
      </c>
      <c r="D10" s="2">
        <v>27709</v>
      </c>
      <c r="E10" s="2">
        <v>20835</v>
      </c>
      <c r="F10" s="28">
        <f t="shared" si="8"/>
        <v>0.75192175827348517</v>
      </c>
      <c r="H10" s="28"/>
      <c r="I10" s="19" t="s">
        <v>52</v>
      </c>
      <c r="J10" s="2">
        <v>2505</v>
      </c>
      <c r="K10" s="2">
        <v>1820</v>
      </c>
      <c r="L10" s="2">
        <v>6597</v>
      </c>
      <c r="M10" s="2">
        <v>5395</v>
      </c>
      <c r="N10" s="2">
        <v>4624</v>
      </c>
      <c r="O10" s="2">
        <v>3215</v>
      </c>
      <c r="P10" s="2">
        <v>4358</v>
      </c>
      <c r="Q10" s="2">
        <v>3106</v>
      </c>
      <c r="R10" s="2">
        <v>3632</v>
      </c>
      <c r="S10" s="2">
        <v>2689</v>
      </c>
      <c r="T10" s="2">
        <v>3481</v>
      </c>
      <c r="U10" s="2">
        <v>2830</v>
      </c>
      <c r="V10" s="2">
        <v>2267</v>
      </c>
      <c r="W10" s="2">
        <v>1691</v>
      </c>
      <c r="X10" s="2">
        <v>27464</v>
      </c>
      <c r="Y10" s="2">
        <v>20746</v>
      </c>
      <c r="Z10" s="2"/>
      <c r="AA10" s="28"/>
      <c r="AB10" s="20" t="s">
        <v>48</v>
      </c>
      <c r="AC10" s="28">
        <f t="shared" si="0"/>
        <v>0.76401105805478764</v>
      </c>
      <c r="AD10" s="28">
        <f>VLOOKUP($AB10,$I$8:$Y$1048576,5,FALSE)/VLOOKUP($AB10,$I$8:$Y$1048576,4,FALSE)</f>
        <v>0.85015105740181274</v>
      </c>
      <c r="AE10" s="28">
        <f t="shared" si="2"/>
        <v>0.7475127128012381</v>
      </c>
      <c r="AF10" s="28">
        <f t="shared" si="3"/>
        <v>0.72700827925710454</v>
      </c>
      <c r="AG10" s="28">
        <f t="shared" si="4"/>
        <v>0.75986751311068179</v>
      </c>
      <c r="AH10" s="28">
        <f>VLOOKUP($AB10,$I$8:$Y$1048576,15,FALSE)/VLOOKUP($AB10,$I$8:$Y$1048576,14,FALSE)</f>
        <v>0.73832599118942732</v>
      </c>
      <c r="AI10" s="28">
        <f t="shared" si="6"/>
        <v>0.73069460613116022</v>
      </c>
      <c r="AJ10" s="28">
        <f t="shared" si="7"/>
        <v>0.71864226995491909</v>
      </c>
      <c r="AK10" s="45"/>
      <c r="AL10" s="45"/>
      <c r="AM10" s="28"/>
      <c r="AN10" s="19">
        <v>5</v>
      </c>
      <c r="AO10" s="2">
        <v>27709</v>
      </c>
      <c r="AP10" s="2">
        <v>20835</v>
      </c>
      <c r="AQ10" s="20">
        <f t="shared" si="17"/>
        <v>982</v>
      </c>
      <c r="AT10" s="19" t="s">
        <v>52</v>
      </c>
      <c r="AU10" s="2">
        <v>2505</v>
      </c>
      <c r="AV10" s="2">
        <v>1820</v>
      </c>
      <c r="AW10" s="2">
        <v>6597</v>
      </c>
      <c r="AX10" s="2">
        <v>5395</v>
      </c>
      <c r="AY10" s="2">
        <v>4624</v>
      </c>
      <c r="AZ10" s="2">
        <v>3215</v>
      </c>
      <c r="BA10" s="2">
        <v>4358</v>
      </c>
      <c r="BB10" s="2">
        <v>3106</v>
      </c>
      <c r="BC10" s="2">
        <v>3632</v>
      </c>
      <c r="BD10" s="2">
        <v>2689</v>
      </c>
      <c r="BE10" s="2">
        <v>3481</v>
      </c>
      <c r="BF10" s="2">
        <v>2830</v>
      </c>
      <c r="BG10" s="2">
        <v>2267</v>
      </c>
      <c r="BH10" s="2">
        <v>1691</v>
      </c>
      <c r="BI10" s="2">
        <v>27464</v>
      </c>
      <c r="BJ10" s="2">
        <v>20746</v>
      </c>
      <c r="BK10" s="2"/>
      <c r="BM10" s="20" t="s">
        <v>46</v>
      </c>
      <c r="BN10" s="25">
        <f t="shared" si="9"/>
        <v>982</v>
      </c>
      <c r="BO10" s="25">
        <f t="shared" si="10"/>
        <v>166</v>
      </c>
      <c r="BP10" s="25">
        <f t="shared" si="11"/>
        <v>182.42857142857142</v>
      </c>
      <c r="BQ10" s="25">
        <f t="shared" si="12"/>
        <v>184.57142857142858</v>
      </c>
      <c r="BR10" s="25">
        <f t="shared" si="13"/>
        <v>111.85714285714286</v>
      </c>
      <c r="BS10" s="25">
        <f t="shared" si="14"/>
        <v>80.571428571428569</v>
      </c>
      <c r="BT10" s="25">
        <f t="shared" si="15"/>
        <v>89.714285714285708</v>
      </c>
      <c r="BU10" s="25">
        <f t="shared" si="16"/>
        <v>166.85714285714286</v>
      </c>
    </row>
    <row r="11" spans="2:73" x14ac:dyDescent="0.35">
      <c r="B11" s="28"/>
      <c r="C11" s="19">
        <v>6</v>
      </c>
      <c r="D11" s="2">
        <v>27908</v>
      </c>
      <c r="E11" s="2">
        <v>21651</v>
      </c>
      <c r="F11" s="28">
        <f t="shared" si="8"/>
        <v>0.77579905403468541</v>
      </c>
      <c r="H11" s="28"/>
      <c r="I11" s="19" t="s">
        <v>53</v>
      </c>
      <c r="J11" s="2">
        <v>2403</v>
      </c>
      <c r="K11" s="2">
        <v>1735</v>
      </c>
      <c r="L11" s="2">
        <v>6526</v>
      </c>
      <c r="M11" s="2">
        <v>5294</v>
      </c>
      <c r="N11" s="2">
        <v>4585</v>
      </c>
      <c r="O11" s="2">
        <v>3294</v>
      </c>
      <c r="P11" s="2">
        <v>4523</v>
      </c>
      <c r="Q11" s="2">
        <v>3163</v>
      </c>
      <c r="R11" s="2">
        <v>3623</v>
      </c>
      <c r="S11" s="2">
        <v>2716</v>
      </c>
      <c r="T11" s="2">
        <v>3501</v>
      </c>
      <c r="U11" s="2">
        <v>2764</v>
      </c>
      <c r="V11" s="2">
        <v>2268</v>
      </c>
      <c r="W11" s="2">
        <v>1726</v>
      </c>
      <c r="X11" s="2">
        <v>27429</v>
      </c>
      <c r="Y11" s="2">
        <v>20692</v>
      </c>
      <c r="Z11" s="2"/>
      <c r="AA11" s="28"/>
      <c r="AB11" s="20" t="s">
        <v>49</v>
      </c>
      <c r="AC11" s="28">
        <f t="shared" si="0"/>
        <v>0.74775325328923714</v>
      </c>
      <c r="AD11" s="28">
        <f t="shared" si="1"/>
        <v>0.82466455600783961</v>
      </c>
      <c r="AE11" s="28">
        <f t="shared" si="2"/>
        <v>0.72365544381285529</v>
      </c>
      <c r="AF11" s="28">
        <f t="shared" si="3"/>
        <v>0.71660283847713446</v>
      </c>
      <c r="AG11" s="28">
        <f t="shared" si="4"/>
        <v>0.78030734206033014</v>
      </c>
      <c r="AH11" s="28">
        <f t="shared" si="5"/>
        <v>0.72421425409473217</v>
      </c>
      <c r="AI11" s="28">
        <f t="shared" si="6"/>
        <v>0.71954459203036059</v>
      </c>
      <c r="AJ11" s="28">
        <f>VLOOKUP($AB11,$I$8:$Y$1048576,11,FALSE)/VLOOKUP($AB11,$I$8:$Y$1048576,10,FALSE)</f>
        <v>0.68172157279489909</v>
      </c>
      <c r="AK11" s="45"/>
      <c r="AL11" s="45"/>
      <c r="AM11" s="28"/>
      <c r="AN11" s="19">
        <v>6</v>
      </c>
      <c r="AO11" s="2">
        <v>27908</v>
      </c>
      <c r="AP11" s="2">
        <v>21651</v>
      </c>
      <c r="AQ11" s="20">
        <f t="shared" si="17"/>
        <v>893.85714285714289</v>
      </c>
      <c r="AR11" s="20"/>
      <c r="AT11" s="19" t="s">
        <v>53</v>
      </c>
      <c r="AU11" s="2">
        <v>2403</v>
      </c>
      <c r="AV11" s="2">
        <v>1735</v>
      </c>
      <c r="AW11" s="2">
        <v>6526</v>
      </c>
      <c r="AX11" s="2">
        <v>5294</v>
      </c>
      <c r="AY11" s="2">
        <v>4585</v>
      </c>
      <c r="AZ11" s="2">
        <v>3294</v>
      </c>
      <c r="BA11" s="2">
        <v>4523</v>
      </c>
      <c r="BB11" s="2">
        <v>3163</v>
      </c>
      <c r="BC11" s="2">
        <v>3623</v>
      </c>
      <c r="BD11" s="2">
        <v>2716</v>
      </c>
      <c r="BE11" s="2">
        <v>3501</v>
      </c>
      <c r="BF11" s="2">
        <v>2764</v>
      </c>
      <c r="BG11" s="2">
        <v>2268</v>
      </c>
      <c r="BH11" s="2">
        <v>1726</v>
      </c>
      <c r="BI11" s="2">
        <v>27429</v>
      </c>
      <c r="BJ11" s="2">
        <v>20692</v>
      </c>
      <c r="BK11" s="2"/>
      <c r="BM11" s="20" t="s">
        <v>47</v>
      </c>
      <c r="BN11" s="25">
        <f t="shared" si="9"/>
        <v>893.85714285714289</v>
      </c>
      <c r="BO11" s="25">
        <f t="shared" si="10"/>
        <v>139.14285714285714</v>
      </c>
      <c r="BP11" s="25">
        <f t="shared" si="11"/>
        <v>157.28571428571428</v>
      </c>
      <c r="BQ11" s="25">
        <f t="shared" si="12"/>
        <v>169.57142857142858</v>
      </c>
      <c r="BR11" s="25">
        <f t="shared" si="13"/>
        <v>113.85714285714286</v>
      </c>
      <c r="BS11" s="25">
        <f t="shared" si="14"/>
        <v>74.714285714285708</v>
      </c>
      <c r="BT11" s="25">
        <f t="shared" si="15"/>
        <v>89</v>
      </c>
      <c r="BU11" s="25">
        <f t="shared" si="16"/>
        <v>150.28571428571428</v>
      </c>
    </row>
    <row r="12" spans="2:73" x14ac:dyDescent="0.35">
      <c r="B12" s="28"/>
      <c r="C12" s="19">
        <v>7</v>
      </c>
      <c r="D12" s="2">
        <v>27853</v>
      </c>
      <c r="E12" s="2">
        <v>21280</v>
      </c>
      <c r="F12" s="28">
        <f t="shared" si="8"/>
        <v>0.76401105805478764</v>
      </c>
      <c r="H12" s="28"/>
      <c r="I12" s="19" t="s">
        <v>54</v>
      </c>
      <c r="J12" s="2">
        <v>2487</v>
      </c>
      <c r="K12" s="2">
        <v>1871</v>
      </c>
      <c r="L12" s="2">
        <v>6575</v>
      </c>
      <c r="M12" s="2">
        <v>5305</v>
      </c>
      <c r="N12" s="2">
        <v>4605</v>
      </c>
      <c r="O12" s="2">
        <v>3349</v>
      </c>
      <c r="P12" s="2">
        <v>4530</v>
      </c>
      <c r="Q12" s="2">
        <v>3152</v>
      </c>
      <c r="R12" s="2">
        <v>3602</v>
      </c>
      <c r="S12" s="2">
        <v>2680</v>
      </c>
      <c r="T12" s="2">
        <v>3429</v>
      </c>
      <c r="U12" s="2">
        <v>2720</v>
      </c>
      <c r="V12" s="2">
        <v>2252</v>
      </c>
      <c r="W12" s="2">
        <v>1671</v>
      </c>
      <c r="X12" s="2">
        <v>27480</v>
      </c>
      <c r="Y12" s="2">
        <v>20748</v>
      </c>
      <c r="Z12" s="2"/>
      <c r="AA12" s="28"/>
      <c r="AB12" s="20" t="s">
        <v>50</v>
      </c>
      <c r="AC12" s="28">
        <f t="shared" si="0"/>
        <v>0.74249284601731447</v>
      </c>
      <c r="AD12" s="28">
        <f t="shared" si="1"/>
        <v>0.79993955877908729</v>
      </c>
      <c r="AE12" s="28">
        <f t="shared" si="2"/>
        <v>0.73636960805780605</v>
      </c>
      <c r="AF12" s="28">
        <f t="shared" si="3"/>
        <v>0.68340463859491107</v>
      </c>
      <c r="AG12" s="28">
        <f t="shared" si="4"/>
        <v>0.78766724840023272</v>
      </c>
      <c r="AH12" s="28">
        <f t="shared" si="5"/>
        <v>0.71637168141592922</v>
      </c>
      <c r="AI12" s="28">
        <f t="shared" si="6"/>
        <v>0.72919937205651486</v>
      </c>
      <c r="AJ12" s="28">
        <f t="shared" si="7"/>
        <v>0.70174029451137887</v>
      </c>
      <c r="AK12" s="45"/>
      <c r="AL12" s="45"/>
      <c r="AM12" s="28"/>
      <c r="AN12" s="19">
        <v>7</v>
      </c>
      <c r="AO12" s="2">
        <v>27853</v>
      </c>
      <c r="AP12" s="2">
        <v>21280</v>
      </c>
      <c r="AQ12" s="20">
        <f t="shared" si="17"/>
        <v>939</v>
      </c>
      <c r="AR12" s="20"/>
      <c r="AT12" s="19" t="s">
        <v>54</v>
      </c>
      <c r="AU12" s="2">
        <v>2487</v>
      </c>
      <c r="AV12" s="2">
        <v>1871</v>
      </c>
      <c r="AW12" s="2">
        <v>6575</v>
      </c>
      <c r="AX12" s="2">
        <v>5305</v>
      </c>
      <c r="AY12" s="2">
        <v>4605</v>
      </c>
      <c r="AZ12" s="2">
        <v>3349</v>
      </c>
      <c r="BA12" s="2">
        <v>4530</v>
      </c>
      <c r="BB12" s="2">
        <v>3152</v>
      </c>
      <c r="BC12" s="2">
        <v>3602</v>
      </c>
      <c r="BD12" s="2">
        <v>2680</v>
      </c>
      <c r="BE12" s="2">
        <v>3429</v>
      </c>
      <c r="BF12" s="2">
        <v>2720</v>
      </c>
      <c r="BG12" s="2">
        <v>2252</v>
      </c>
      <c r="BH12" s="2">
        <v>1671</v>
      </c>
      <c r="BI12" s="2">
        <v>27480</v>
      </c>
      <c r="BJ12" s="2">
        <v>20748</v>
      </c>
      <c r="BK12" s="2"/>
      <c r="BM12" s="20" t="s">
        <v>48</v>
      </c>
      <c r="BN12" s="25">
        <f t="shared" si="9"/>
        <v>939</v>
      </c>
      <c r="BO12" s="25">
        <f t="shared" si="10"/>
        <v>141.71428571428572</v>
      </c>
      <c r="BP12" s="25">
        <f t="shared" si="11"/>
        <v>163.14285714285714</v>
      </c>
      <c r="BQ12" s="25">
        <f>(VLOOKUP($BM12,$AT$8:$BJ$1048576,8,FALSE)-VLOOKUP($BM12,$AT$8:$BJ$1048576,9,FALSE))/7</f>
        <v>174.28571428571428</v>
      </c>
      <c r="BR12" s="25">
        <f t="shared" si="13"/>
        <v>124.28571428571429</v>
      </c>
      <c r="BS12" s="25">
        <f t="shared" si="14"/>
        <v>84.857142857142861</v>
      </c>
      <c r="BT12" s="25">
        <f t="shared" si="15"/>
        <v>99.142857142857139</v>
      </c>
      <c r="BU12" s="25">
        <f t="shared" si="16"/>
        <v>151.57142857142858</v>
      </c>
    </row>
    <row r="13" spans="2:73" x14ac:dyDescent="0.35">
      <c r="B13" s="28"/>
      <c r="C13" s="19">
        <v>8</v>
      </c>
      <c r="D13" s="2">
        <v>27818</v>
      </c>
      <c r="E13" s="2">
        <v>20801</v>
      </c>
      <c r="F13" s="28">
        <f t="shared" si="8"/>
        <v>0.74775325328923714</v>
      </c>
      <c r="H13" s="28"/>
      <c r="I13" s="19" t="s">
        <v>43</v>
      </c>
      <c r="J13" s="2">
        <v>2683</v>
      </c>
      <c r="K13" s="2">
        <v>2137</v>
      </c>
      <c r="L13" s="2">
        <v>6458</v>
      </c>
      <c r="M13" s="2">
        <v>5690</v>
      </c>
      <c r="N13" s="2">
        <v>4753</v>
      </c>
      <c r="O13" s="2">
        <v>3715</v>
      </c>
      <c r="P13" s="2">
        <v>4535</v>
      </c>
      <c r="Q13" s="2">
        <v>3587</v>
      </c>
      <c r="R13" s="2">
        <v>3773</v>
      </c>
      <c r="S13" s="2">
        <v>2906</v>
      </c>
      <c r="T13" s="2">
        <v>3621</v>
      </c>
      <c r="U13" s="2">
        <v>2912</v>
      </c>
      <c r="V13" s="2">
        <v>2292</v>
      </c>
      <c r="W13" s="2">
        <v>1774</v>
      </c>
      <c r="X13" s="2">
        <v>28115</v>
      </c>
      <c r="Y13" s="2">
        <v>22721</v>
      </c>
      <c r="Z13" s="2"/>
      <c r="AA13" s="28"/>
      <c r="AB13" s="20" t="s">
        <v>51</v>
      </c>
      <c r="AC13" s="28">
        <f t="shared" si="0"/>
        <v>0.75179843111737699</v>
      </c>
      <c r="AD13" s="28">
        <f t="shared" si="1"/>
        <v>0.7955401536838933</v>
      </c>
      <c r="AE13" s="28">
        <f t="shared" si="2"/>
        <v>0.72382198952879584</v>
      </c>
      <c r="AF13" s="28">
        <f t="shared" si="3"/>
        <v>0.70299910474485228</v>
      </c>
      <c r="AG13" s="28">
        <f t="shared" si="4"/>
        <v>0.80323679727427599</v>
      </c>
      <c r="AH13" s="28">
        <f t="shared" si="5"/>
        <v>0.75630252100840334</v>
      </c>
      <c r="AI13" s="28">
        <f t="shared" si="6"/>
        <v>0.72026604068857591</v>
      </c>
      <c r="AJ13" s="28">
        <f>VLOOKUP($AB13,$I$8:$Y$1048576,11,FALSE)/VLOOKUP($AB13,$I$8:$Y$1048576,10,FALSE)</f>
        <v>0.73672627235213206</v>
      </c>
      <c r="AK13" s="45"/>
      <c r="AL13" s="45"/>
      <c r="AM13" s="28"/>
      <c r="AN13" s="19">
        <v>8</v>
      </c>
      <c r="AO13" s="2">
        <v>27818</v>
      </c>
      <c r="AP13" s="2">
        <v>20801</v>
      </c>
      <c r="AQ13" s="20">
        <f t="shared" si="17"/>
        <v>1002.4285714285714</v>
      </c>
      <c r="AR13" s="20"/>
      <c r="AT13" s="19" t="s">
        <v>43</v>
      </c>
      <c r="AU13" s="2">
        <v>2683</v>
      </c>
      <c r="AV13" s="2">
        <v>2137</v>
      </c>
      <c r="AW13" s="2">
        <v>6458</v>
      </c>
      <c r="AX13" s="2">
        <v>5690</v>
      </c>
      <c r="AY13" s="2">
        <v>4753</v>
      </c>
      <c r="AZ13" s="2">
        <v>3715</v>
      </c>
      <c r="BA13" s="2">
        <v>4535</v>
      </c>
      <c r="BB13" s="2">
        <v>3587</v>
      </c>
      <c r="BC13" s="2">
        <v>3773</v>
      </c>
      <c r="BD13" s="2">
        <v>2906</v>
      </c>
      <c r="BE13" s="2">
        <v>3621</v>
      </c>
      <c r="BF13" s="2">
        <v>2912</v>
      </c>
      <c r="BG13" s="2">
        <v>2292</v>
      </c>
      <c r="BH13" s="2">
        <v>1774</v>
      </c>
      <c r="BI13" s="2">
        <v>28115</v>
      </c>
      <c r="BJ13" s="2">
        <v>22721</v>
      </c>
      <c r="BK13" s="2"/>
      <c r="BM13" s="20" t="s">
        <v>49</v>
      </c>
      <c r="BN13" s="25">
        <f t="shared" si="9"/>
        <v>1002.4285714285714</v>
      </c>
      <c r="BO13" s="25">
        <f t="shared" si="10"/>
        <v>166.14285714285714</v>
      </c>
      <c r="BP13" s="25">
        <f t="shared" si="11"/>
        <v>180.57142857142858</v>
      </c>
      <c r="BQ13" s="25">
        <f t="shared" si="12"/>
        <v>179.71428571428572</v>
      </c>
      <c r="BR13" s="25">
        <f t="shared" si="13"/>
        <v>110.28571428571429</v>
      </c>
      <c r="BS13" s="25">
        <f t="shared" si="14"/>
        <v>89</v>
      </c>
      <c r="BT13" s="25">
        <f t="shared" si="15"/>
        <v>105.57142857142857</v>
      </c>
      <c r="BU13" s="25">
        <f t="shared" si="16"/>
        <v>171.14285714285714</v>
      </c>
    </row>
    <row r="14" spans="2:73" x14ac:dyDescent="0.35">
      <c r="B14" s="28"/>
      <c r="C14" s="19">
        <v>9</v>
      </c>
      <c r="D14" s="2">
        <v>27607</v>
      </c>
      <c r="E14" s="2">
        <v>20498</v>
      </c>
      <c r="F14" s="28">
        <f t="shared" si="8"/>
        <v>0.74249284601731447</v>
      </c>
      <c r="H14" s="28"/>
      <c r="I14" s="19" t="s">
        <v>44</v>
      </c>
      <c r="J14" s="2">
        <v>2752</v>
      </c>
      <c r="K14" s="2">
        <v>2197</v>
      </c>
      <c r="L14" s="2">
        <v>6515</v>
      </c>
      <c r="M14" s="2">
        <v>5617</v>
      </c>
      <c r="N14" s="2">
        <v>4627</v>
      </c>
      <c r="O14" s="2">
        <v>3624</v>
      </c>
      <c r="P14" s="2">
        <v>4540</v>
      </c>
      <c r="Q14" s="2">
        <v>3479</v>
      </c>
      <c r="R14" s="2">
        <v>3766</v>
      </c>
      <c r="S14" s="2">
        <v>2886</v>
      </c>
      <c r="T14" s="2">
        <v>3639</v>
      </c>
      <c r="U14" s="2">
        <v>2896</v>
      </c>
      <c r="V14" s="2">
        <v>2263</v>
      </c>
      <c r="W14" s="2">
        <v>1791</v>
      </c>
      <c r="X14" s="2">
        <v>28102</v>
      </c>
      <c r="Y14" s="2">
        <v>22490</v>
      </c>
      <c r="Z14" s="2"/>
      <c r="AA14" s="28"/>
      <c r="AB14" s="20" t="s">
        <v>52</v>
      </c>
      <c r="AC14" s="28">
        <f t="shared" si="0"/>
        <v>0.75538887270608801</v>
      </c>
      <c r="AD14" s="28">
        <f t="shared" si="1"/>
        <v>0.81779596786418074</v>
      </c>
      <c r="AE14" s="28">
        <f t="shared" si="2"/>
        <v>0.69528546712802763</v>
      </c>
      <c r="AF14" s="28">
        <f t="shared" si="3"/>
        <v>0.71271225332721433</v>
      </c>
      <c r="AG14" s="28">
        <f t="shared" si="4"/>
        <v>0.8129847744900891</v>
      </c>
      <c r="AH14" s="28">
        <f t="shared" si="5"/>
        <v>0.74591971768857523</v>
      </c>
      <c r="AI14" s="28">
        <f t="shared" si="6"/>
        <v>0.72654690618762474</v>
      </c>
      <c r="AJ14" s="28">
        <f t="shared" si="7"/>
        <v>0.74036343612334798</v>
      </c>
      <c r="AK14" s="45"/>
      <c r="AL14" s="45"/>
      <c r="AM14" s="28"/>
      <c r="AN14" s="19">
        <v>9</v>
      </c>
      <c r="AO14" s="2">
        <v>27607</v>
      </c>
      <c r="AP14" s="2">
        <v>20498</v>
      </c>
      <c r="AQ14" s="20">
        <f t="shared" si="17"/>
        <v>1015.5714285714286</v>
      </c>
      <c r="AR14" s="20"/>
      <c r="AT14" s="19" t="s">
        <v>44</v>
      </c>
      <c r="AU14" s="2">
        <v>2752</v>
      </c>
      <c r="AV14" s="2">
        <v>2197</v>
      </c>
      <c r="AW14" s="2">
        <v>6515</v>
      </c>
      <c r="AX14" s="2">
        <v>5617</v>
      </c>
      <c r="AY14" s="2">
        <v>4627</v>
      </c>
      <c r="AZ14" s="2">
        <v>3624</v>
      </c>
      <c r="BA14" s="2">
        <v>4540</v>
      </c>
      <c r="BB14" s="2">
        <v>3479</v>
      </c>
      <c r="BC14" s="2">
        <v>3766</v>
      </c>
      <c r="BD14" s="2">
        <v>2886</v>
      </c>
      <c r="BE14" s="2">
        <v>3639</v>
      </c>
      <c r="BF14" s="2">
        <v>2896</v>
      </c>
      <c r="BG14" s="2">
        <v>2263</v>
      </c>
      <c r="BH14" s="2">
        <v>1791</v>
      </c>
      <c r="BI14" s="2">
        <v>28102</v>
      </c>
      <c r="BJ14" s="2">
        <v>22490</v>
      </c>
      <c r="BK14" s="2"/>
      <c r="BM14" s="20" t="s">
        <v>50</v>
      </c>
      <c r="BN14" s="25">
        <f t="shared" si="9"/>
        <v>1015.5714285714286</v>
      </c>
      <c r="BO14" s="25">
        <f t="shared" si="10"/>
        <v>189.14285714285714</v>
      </c>
      <c r="BP14" s="25">
        <f t="shared" si="11"/>
        <v>172</v>
      </c>
      <c r="BQ14" s="25">
        <f t="shared" si="12"/>
        <v>200.85714285714286</v>
      </c>
      <c r="BR14" s="25">
        <f t="shared" si="13"/>
        <v>104.28571428571429</v>
      </c>
      <c r="BS14" s="25">
        <f t="shared" si="14"/>
        <v>91.571428571428569</v>
      </c>
      <c r="BT14" s="25">
        <f t="shared" si="15"/>
        <v>98.571428571428569</v>
      </c>
      <c r="BU14" s="25">
        <f t="shared" si="16"/>
        <v>159.14285714285714</v>
      </c>
    </row>
    <row r="15" spans="2:73" x14ac:dyDescent="0.35">
      <c r="B15" s="28"/>
      <c r="C15" s="19">
        <v>10</v>
      </c>
      <c r="D15" s="2">
        <v>27663</v>
      </c>
      <c r="E15" s="2">
        <v>20797</v>
      </c>
      <c r="F15" s="28">
        <f t="shared" si="8"/>
        <v>0.75179843111737699</v>
      </c>
      <c r="H15" s="28"/>
      <c r="I15" s="19" t="s">
        <v>45</v>
      </c>
      <c r="J15" s="2">
        <v>2561</v>
      </c>
      <c r="K15" s="2">
        <v>1976</v>
      </c>
      <c r="L15" s="2">
        <v>6491</v>
      </c>
      <c r="M15" s="2">
        <v>5285</v>
      </c>
      <c r="N15" s="2">
        <v>4513</v>
      </c>
      <c r="O15" s="2">
        <v>3329</v>
      </c>
      <c r="P15" s="2">
        <v>4496</v>
      </c>
      <c r="Q15" s="2">
        <v>3221</v>
      </c>
      <c r="R15" s="2">
        <v>3755</v>
      </c>
      <c r="S15" s="2">
        <v>2617</v>
      </c>
      <c r="T15" s="2">
        <v>3586</v>
      </c>
      <c r="U15" s="2">
        <v>2741</v>
      </c>
      <c r="V15" s="2">
        <v>2245</v>
      </c>
      <c r="W15" s="2">
        <v>1669</v>
      </c>
      <c r="X15" s="2">
        <v>27647</v>
      </c>
      <c r="Y15" s="2">
        <v>20838</v>
      </c>
      <c r="Z15" s="2"/>
      <c r="AA15" s="28"/>
      <c r="AB15" s="20" t="s">
        <v>53</v>
      </c>
      <c r="AC15" s="28">
        <f t="shared" si="0"/>
        <v>0.75438404608261334</v>
      </c>
      <c r="AD15" s="28">
        <f t="shared" si="1"/>
        <v>0.81121667177444068</v>
      </c>
      <c r="AE15" s="28">
        <f t="shared" si="2"/>
        <v>0.71842966194111235</v>
      </c>
      <c r="AF15" s="28">
        <f t="shared" si="3"/>
        <v>0.699314614194119</v>
      </c>
      <c r="AG15" s="28">
        <f t="shared" si="4"/>
        <v>0.78948871750928307</v>
      </c>
      <c r="AH15" s="28">
        <f t="shared" si="5"/>
        <v>0.76102292768959434</v>
      </c>
      <c r="AI15" s="28">
        <f t="shared" si="6"/>
        <v>0.72201414898044114</v>
      </c>
      <c r="AJ15" s="28">
        <f>VLOOKUP($AB15,$I$8:$Y$1048576,11,FALSE)/VLOOKUP($AB15,$I$8:$Y$1048576,10,FALSE)</f>
        <v>0.74965498205906711</v>
      </c>
      <c r="AK15" s="45"/>
      <c r="AL15" s="45"/>
      <c r="AM15" s="28"/>
      <c r="AN15" s="19">
        <v>10</v>
      </c>
      <c r="AO15" s="2">
        <v>27663</v>
      </c>
      <c r="AP15" s="2">
        <v>20797</v>
      </c>
      <c r="AQ15" s="20">
        <f t="shared" si="17"/>
        <v>980.85714285714289</v>
      </c>
      <c r="AR15" s="20"/>
      <c r="AT15" s="19" t="s">
        <v>45</v>
      </c>
      <c r="AU15" s="2">
        <v>2561</v>
      </c>
      <c r="AV15" s="2">
        <v>1976</v>
      </c>
      <c r="AW15" s="2">
        <v>6491</v>
      </c>
      <c r="AX15" s="2">
        <v>5285</v>
      </c>
      <c r="AY15" s="2">
        <v>4513</v>
      </c>
      <c r="AZ15" s="2">
        <v>3329</v>
      </c>
      <c r="BA15" s="2">
        <v>4496</v>
      </c>
      <c r="BB15" s="2">
        <v>3221</v>
      </c>
      <c r="BC15" s="2">
        <v>3755</v>
      </c>
      <c r="BD15" s="2">
        <v>2617</v>
      </c>
      <c r="BE15" s="2">
        <v>3586</v>
      </c>
      <c r="BF15" s="2">
        <v>2741</v>
      </c>
      <c r="BG15" s="2">
        <v>2245</v>
      </c>
      <c r="BH15" s="2">
        <v>1669</v>
      </c>
      <c r="BI15" s="2">
        <v>27647</v>
      </c>
      <c r="BJ15" s="2">
        <v>20838</v>
      </c>
      <c r="BK15" s="2"/>
      <c r="BM15" s="20" t="s">
        <v>51</v>
      </c>
      <c r="BN15" s="25">
        <f t="shared" si="9"/>
        <v>980.85714285714289</v>
      </c>
      <c r="BO15" s="25">
        <f t="shared" si="10"/>
        <v>193.85714285714286</v>
      </c>
      <c r="BP15" s="25">
        <f t="shared" si="11"/>
        <v>180.85714285714286</v>
      </c>
      <c r="BQ15" s="25">
        <f t="shared" si="12"/>
        <v>189.57142857142858</v>
      </c>
      <c r="BR15" s="25">
        <f t="shared" si="13"/>
        <v>99</v>
      </c>
      <c r="BS15" s="25">
        <f t="shared" si="14"/>
        <v>78.714285714285708</v>
      </c>
      <c r="BT15" s="25">
        <f t="shared" si="15"/>
        <v>102.14285714285714</v>
      </c>
      <c r="BU15" s="25">
        <f t="shared" si="16"/>
        <v>136.71428571428572</v>
      </c>
    </row>
    <row r="16" spans="2:73" x14ac:dyDescent="0.35">
      <c r="B16" s="28"/>
      <c r="C16" s="19">
        <v>11</v>
      </c>
      <c r="D16" s="2">
        <v>27464</v>
      </c>
      <c r="E16" s="2">
        <v>20746</v>
      </c>
      <c r="F16" s="28">
        <f t="shared" si="8"/>
        <v>0.75538887270608801</v>
      </c>
      <c r="H16" s="28"/>
      <c r="I16" s="19" t="s">
        <v>46</v>
      </c>
      <c r="J16" s="2">
        <v>2622</v>
      </c>
      <c r="K16" s="2">
        <v>1994</v>
      </c>
      <c r="L16" s="2">
        <v>6479</v>
      </c>
      <c r="M16" s="2">
        <v>5317</v>
      </c>
      <c r="N16" s="2">
        <v>4529</v>
      </c>
      <c r="O16" s="2">
        <v>3252</v>
      </c>
      <c r="P16" s="2">
        <v>4495</v>
      </c>
      <c r="Q16" s="2">
        <v>3203</v>
      </c>
      <c r="R16" s="2">
        <v>3746</v>
      </c>
      <c r="S16" s="2">
        <v>2578</v>
      </c>
      <c r="T16" s="2">
        <v>3571</v>
      </c>
      <c r="U16" s="2">
        <v>2788</v>
      </c>
      <c r="V16" s="2">
        <v>2267</v>
      </c>
      <c r="W16" s="2">
        <v>1703</v>
      </c>
      <c r="X16" s="2">
        <v>27709</v>
      </c>
      <c r="Y16" s="2">
        <v>20835</v>
      </c>
      <c r="Z16" s="2"/>
      <c r="AA16" s="28"/>
      <c r="AB16" s="20" t="s">
        <v>54</v>
      </c>
      <c r="AC16" s="28">
        <f t="shared" si="0"/>
        <v>0.75502183406113532</v>
      </c>
      <c r="AD16" s="28">
        <f t="shared" si="1"/>
        <v>0.80684410646387827</v>
      </c>
      <c r="AE16" s="28">
        <f t="shared" si="2"/>
        <v>0.72725298588490772</v>
      </c>
      <c r="AF16" s="28">
        <f t="shared" si="3"/>
        <v>0.69580573951434876</v>
      </c>
      <c r="AG16" s="28">
        <f t="shared" si="4"/>
        <v>0.79323417906095073</v>
      </c>
      <c r="AH16" s="28">
        <f t="shared" si="5"/>
        <v>0.74200710479573717</v>
      </c>
      <c r="AI16" s="28">
        <f t="shared" si="6"/>
        <v>0.75231202251708884</v>
      </c>
      <c r="AJ16" s="28">
        <f t="shared" si="7"/>
        <v>0.74403109383675736</v>
      </c>
      <c r="AK16" s="45"/>
      <c r="AL16" s="45"/>
      <c r="AM16" s="28"/>
      <c r="AN16" s="19">
        <v>11</v>
      </c>
      <c r="AO16" s="2">
        <v>27464</v>
      </c>
      <c r="AP16" s="2">
        <v>20746</v>
      </c>
      <c r="AQ16" s="20">
        <f t="shared" si="17"/>
        <v>959.71428571428567</v>
      </c>
      <c r="AR16" s="20"/>
      <c r="AT16" s="19" t="s">
        <v>46</v>
      </c>
      <c r="AU16" s="2">
        <v>2622</v>
      </c>
      <c r="AV16" s="2">
        <v>1994</v>
      </c>
      <c r="AW16" s="2">
        <v>6479</v>
      </c>
      <c r="AX16" s="2">
        <v>5317</v>
      </c>
      <c r="AY16" s="2">
        <v>4529</v>
      </c>
      <c r="AZ16" s="2">
        <v>3252</v>
      </c>
      <c r="BA16" s="2">
        <v>4495</v>
      </c>
      <c r="BB16" s="2">
        <v>3203</v>
      </c>
      <c r="BC16" s="2">
        <v>3746</v>
      </c>
      <c r="BD16" s="2">
        <v>2578</v>
      </c>
      <c r="BE16" s="2">
        <v>3571</v>
      </c>
      <c r="BF16" s="2">
        <v>2788</v>
      </c>
      <c r="BG16" s="2">
        <v>2267</v>
      </c>
      <c r="BH16" s="2">
        <v>1703</v>
      </c>
      <c r="BI16" s="2">
        <v>27709</v>
      </c>
      <c r="BJ16" s="2">
        <v>20835</v>
      </c>
      <c r="BK16" s="2"/>
      <c r="BM16" s="20" t="s">
        <v>52</v>
      </c>
      <c r="BN16" s="25">
        <f t="shared" si="9"/>
        <v>959.71428571428567</v>
      </c>
      <c r="BO16" s="25">
        <f t="shared" si="10"/>
        <v>171.71428571428572</v>
      </c>
      <c r="BP16" s="25">
        <f t="shared" si="11"/>
        <v>201.28571428571428</v>
      </c>
      <c r="BQ16" s="25">
        <f t="shared" si="12"/>
        <v>178.85714285714286</v>
      </c>
      <c r="BR16" s="25">
        <f t="shared" si="13"/>
        <v>93</v>
      </c>
      <c r="BS16" s="25">
        <f t="shared" si="14"/>
        <v>82.285714285714292</v>
      </c>
      <c r="BT16" s="25">
        <f t="shared" si="15"/>
        <v>97.857142857142861</v>
      </c>
      <c r="BU16" s="25">
        <f t="shared" si="16"/>
        <v>134.71428571428572</v>
      </c>
    </row>
    <row r="17" spans="2:73" x14ac:dyDescent="0.35">
      <c r="B17" s="28"/>
      <c r="C17" s="19">
        <v>12</v>
      </c>
      <c r="D17" s="2">
        <v>27429</v>
      </c>
      <c r="E17" s="2">
        <v>20692</v>
      </c>
      <c r="F17" s="28">
        <f t="shared" si="8"/>
        <v>0.75438404608261334</v>
      </c>
      <c r="H17" s="28"/>
      <c r="I17" s="19" t="s">
        <v>47</v>
      </c>
      <c r="J17" s="2">
        <v>2726</v>
      </c>
      <c r="K17" s="2">
        <v>2103</v>
      </c>
      <c r="L17" s="2">
        <v>6507</v>
      </c>
      <c r="M17" s="2">
        <v>5533</v>
      </c>
      <c r="N17" s="2">
        <v>4525</v>
      </c>
      <c r="O17" s="2">
        <v>3424</v>
      </c>
      <c r="P17" s="2">
        <v>4513</v>
      </c>
      <c r="Q17" s="2">
        <v>3326</v>
      </c>
      <c r="R17" s="2">
        <v>3770</v>
      </c>
      <c r="S17" s="2">
        <v>2718</v>
      </c>
      <c r="T17" s="2">
        <v>3592</v>
      </c>
      <c r="U17" s="2">
        <v>2795</v>
      </c>
      <c r="V17" s="2">
        <v>2275</v>
      </c>
      <c r="W17" s="2">
        <v>1752</v>
      </c>
      <c r="X17" s="2">
        <v>27908</v>
      </c>
      <c r="Y17" s="2">
        <v>21651</v>
      </c>
      <c r="Z17" s="2"/>
      <c r="AA17" s="28"/>
      <c r="AB17" s="20"/>
      <c r="AC17" s="28"/>
      <c r="AD17" s="28"/>
      <c r="AE17" s="28"/>
      <c r="AF17" s="28"/>
      <c r="AG17" s="28"/>
      <c r="AH17" s="28"/>
      <c r="AI17" s="45"/>
      <c r="AJ17" s="45"/>
      <c r="AK17" s="45"/>
      <c r="AL17" s="45"/>
      <c r="AM17" s="28"/>
      <c r="AN17" s="19">
        <v>12</v>
      </c>
      <c r="AO17" s="2">
        <v>27429</v>
      </c>
      <c r="AP17" s="2">
        <v>20692</v>
      </c>
      <c r="AQ17" s="20">
        <f t="shared" si="17"/>
        <v>962.42857142857144</v>
      </c>
      <c r="AR17" s="20"/>
      <c r="AT17" s="19" t="s">
        <v>47</v>
      </c>
      <c r="AU17" s="2">
        <v>2726</v>
      </c>
      <c r="AV17" s="2">
        <v>2103</v>
      </c>
      <c r="AW17" s="2">
        <v>6507</v>
      </c>
      <c r="AX17" s="2">
        <v>5533</v>
      </c>
      <c r="AY17" s="2">
        <v>4525</v>
      </c>
      <c r="AZ17" s="2">
        <v>3424</v>
      </c>
      <c r="BA17" s="2">
        <v>4513</v>
      </c>
      <c r="BB17" s="2">
        <v>3326</v>
      </c>
      <c r="BC17" s="2">
        <v>3770</v>
      </c>
      <c r="BD17" s="2">
        <v>2718</v>
      </c>
      <c r="BE17" s="2">
        <v>3592</v>
      </c>
      <c r="BF17" s="2">
        <v>2795</v>
      </c>
      <c r="BG17" s="2">
        <v>2275</v>
      </c>
      <c r="BH17" s="2">
        <v>1752</v>
      </c>
      <c r="BI17" s="2">
        <v>27908</v>
      </c>
      <c r="BJ17" s="2">
        <v>21651</v>
      </c>
      <c r="BK17" s="2"/>
      <c r="BM17" s="20" t="s">
        <v>53</v>
      </c>
      <c r="BN17" s="25">
        <f t="shared" si="9"/>
        <v>962.42857142857144</v>
      </c>
      <c r="BO17" s="25">
        <f t="shared" si="10"/>
        <v>176</v>
      </c>
      <c r="BP17" s="25">
        <f t="shared" si="11"/>
        <v>184.42857142857142</v>
      </c>
      <c r="BQ17" s="25">
        <f t="shared" si="12"/>
        <v>194.28571428571428</v>
      </c>
      <c r="BR17" s="25">
        <f t="shared" si="13"/>
        <v>105.28571428571429</v>
      </c>
      <c r="BS17" s="25">
        <f t="shared" si="14"/>
        <v>77.428571428571431</v>
      </c>
      <c r="BT17" s="25">
        <f t="shared" si="15"/>
        <v>95.428571428571431</v>
      </c>
      <c r="BU17" s="25">
        <f t="shared" si="16"/>
        <v>129.57142857142858</v>
      </c>
    </row>
    <row r="18" spans="2:73" x14ac:dyDescent="0.35">
      <c r="B18" s="28"/>
      <c r="C18" s="19">
        <v>13</v>
      </c>
      <c r="D18" s="2">
        <v>27480</v>
      </c>
      <c r="E18" s="2">
        <v>20748</v>
      </c>
      <c r="F18" s="28">
        <f t="shared" si="8"/>
        <v>0.75502183406113532</v>
      </c>
      <c r="H18" s="28"/>
      <c r="I18" s="19" t="s">
        <v>48</v>
      </c>
      <c r="J18" s="2">
        <v>2577</v>
      </c>
      <c r="K18" s="2">
        <v>1883</v>
      </c>
      <c r="L18" s="2">
        <v>6620</v>
      </c>
      <c r="M18" s="2">
        <v>5628</v>
      </c>
      <c r="N18" s="2">
        <v>4523</v>
      </c>
      <c r="O18" s="2">
        <v>3381</v>
      </c>
      <c r="P18" s="2">
        <v>4469</v>
      </c>
      <c r="Q18" s="2">
        <v>3249</v>
      </c>
      <c r="R18" s="2">
        <v>3771</v>
      </c>
      <c r="S18" s="2">
        <v>2710</v>
      </c>
      <c r="T18" s="2">
        <v>3623</v>
      </c>
      <c r="U18" s="2">
        <v>2753</v>
      </c>
      <c r="V18" s="2">
        <v>2270</v>
      </c>
      <c r="W18" s="2">
        <v>1676</v>
      </c>
      <c r="X18" s="2">
        <v>27853</v>
      </c>
      <c r="Y18" s="2">
        <v>21280</v>
      </c>
      <c r="Z18" s="2"/>
      <c r="AA18" s="28"/>
      <c r="AB18" s="28"/>
      <c r="AC18" s="28"/>
      <c r="AD18" s="28"/>
      <c r="AE18" s="28"/>
      <c r="AF18" s="28"/>
      <c r="AG18" s="28"/>
      <c r="AH18" s="28"/>
      <c r="AI18" s="28"/>
      <c r="AJ18" s="28"/>
      <c r="AK18" s="28"/>
      <c r="AL18" s="28"/>
      <c r="AM18" s="28"/>
      <c r="AN18" s="19">
        <v>13</v>
      </c>
      <c r="AO18" s="2">
        <v>27480</v>
      </c>
      <c r="AP18" s="2">
        <v>20748</v>
      </c>
      <c r="AQ18" s="20">
        <f t="shared" si="17"/>
        <v>961.71428571428567</v>
      </c>
      <c r="AR18" s="20"/>
      <c r="AT18" s="19" t="s">
        <v>48</v>
      </c>
      <c r="AU18" s="2">
        <v>2577</v>
      </c>
      <c r="AV18" s="2">
        <v>1883</v>
      </c>
      <c r="AW18" s="2">
        <v>6620</v>
      </c>
      <c r="AX18" s="2">
        <v>5628</v>
      </c>
      <c r="AY18" s="2">
        <v>4523</v>
      </c>
      <c r="AZ18" s="2">
        <v>3381</v>
      </c>
      <c r="BA18" s="2">
        <v>4469</v>
      </c>
      <c r="BB18" s="2">
        <v>3249</v>
      </c>
      <c r="BC18" s="2">
        <v>3771</v>
      </c>
      <c r="BD18" s="2">
        <v>2710</v>
      </c>
      <c r="BE18" s="2">
        <v>3623</v>
      </c>
      <c r="BF18" s="2">
        <v>2753</v>
      </c>
      <c r="BG18" s="2">
        <v>2270</v>
      </c>
      <c r="BH18" s="2">
        <v>1676</v>
      </c>
      <c r="BI18" s="2">
        <v>27853</v>
      </c>
      <c r="BJ18" s="2">
        <v>21280</v>
      </c>
      <c r="BK18" s="2"/>
      <c r="BM18" s="20" t="s">
        <v>54</v>
      </c>
      <c r="BN18" s="25">
        <f t="shared" si="9"/>
        <v>961.71428571428567</v>
      </c>
      <c r="BO18" s="25">
        <f t="shared" si="10"/>
        <v>181.42857142857142</v>
      </c>
      <c r="BP18" s="25">
        <f t="shared" si="11"/>
        <v>179.42857142857142</v>
      </c>
      <c r="BQ18" s="25">
        <f t="shared" si="12"/>
        <v>196.85714285714286</v>
      </c>
      <c r="BR18" s="25">
        <f t="shared" si="13"/>
        <v>101.28571428571429</v>
      </c>
      <c r="BS18" s="25">
        <f t="shared" si="14"/>
        <v>83</v>
      </c>
      <c r="BT18" s="25">
        <f t="shared" si="15"/>
        <v>88</v>
      </c>
      <c r="BU18" s="25">
        <f>(VLOOKUP($BM18,$AT$8:$BJ$1048576,10,FALSE)-VLOOKUP($BM18,$AT$8:$BJ$1048576,11,FALSE))/7</f>
        <v>131.71428571428572</v>
      </c>
    </row>
    <row r="19" spans="2:73" x14ac:dyDescent="0.35">
      <c r="B19" s="28"/>
      <c r="C19"/>
      <c r="D19"/>
      <c r="E19"/>
      <c r="F19" s="28" t="e">
        <f t="shared" si="8"/>
        <v>#DIV/0!</v>
      </c>
      <c r="H19" s="28"/>
      <c r="I19" s="19" t="s">
        <v>49</v>
      </c>
      <c r="J19" s="2">
        <v>2635</v>
      </c>
      <c r="K19" s="2">
        <v>1896</v>
      </c>
      <c r="L19" s="2">
        <v>6633</v>
      </c>
      <c r="M19" s="2">
        <v>5470</v>
      </c>
      <c r="N19" s="2">
        <v>4574</v>
      </c>
      <c r="O19" s="2">
        <v>3310</v>
      </c>
      <c r="P19" s="2">
        <v>4439</v>
      </c>
      <c r="Q19" s="2">
        <v>3181</v>
      </c>
      <c r="R19" s="2">
        <v>3764</v>
      </c>
      <c r="S19" s="2">
        <v>2566</v>
      </c>
      <c r="T19" s="2">
        <v>3514</v>
      </c>
      <c r="U19" s="2">
        <v>2742</v>
      </c>
      <c r="V19" s="2">
        <v>2259</v>
      </c>
      <c r="W19" s="2">
        <v>1636</v>
      </c>
      <c r="X19" s="2">
        <v>27818</v>
      </c>
      <c r="Y19" s="2">
        <v>20801</v>
      </c>
      <c r="Z19" s="2"/>
      <c r="AA19" s="28"/>
      <c r="AB19" s="28"/>
      <c r="AC19" s="28"/>
      <c r="AD19" s="28"/>
      <c r="AE19" s="28"/>
      <c r="AF19" s="28"/>
      <c r="AG19" s="28"/>
      <c r="AH19" s="28"/>
      <c r="AI19" s="28"/>
      <c r="AJ19" s="28"/>
      <c r="AK19" s="28"/>
      <c r="AL19" s="28"/>
      <c r="AM19" s="28"/>
      <c r="AQ19" s="20">
        <f t="shared" si="17"/>
        <v>0</v>
      </c>
      <c r="AR19" s="20"/>
      <c r="AT19" s="19" t="s">
        <v>49</v>
      </c>
      <c r="AU19" s="2">
        <v>2635</v>
      </c>
      <c r="AV19" s="2">
        <v>1896</v>
      </c>
      <c r="AW19" s="2">
        <v>6633</v>
      </c>
      <c r="AX19" s="2">
        <v>5470</v>
      </c>
      <c r="AY19" s="2">
        <v>4574</v>
      </c>
      <c r="AZ19" s="2">
        <v>3310</v>
      </c>
      <c r="BA19" s="2">
        <v>4439</v>
      </c>
      <c r="BB19" s="2">
        <v>3181</v>
      </c>
      <c r="BC19" s="2">
        <v>3764</v>
      </c>
      <c r="BD19" s="2">
        <v>2566</v>
      </c>
      <c r="BE19" s="2">
        <v>3514</v>
      </c>
      <c r="BF19" s="2">
        <v>2742</v>
      </c>
      <c r="BG19" s="2">
        <v>2259</v>
      </c>
      <c r="BH19" s="2">
        <v>1636</v>
      </c>
      <c r="BI19" s="2">
        <v>27818</v>
      </c>
      <c r="BJ19" s="2">
        <v>20801</v>
      </c>
      <c r="BK19" s="2"/>
      <c r="BM19" s="20"/>
      <c r="BN19" s="25"/>
      <c r="BO19" s="25"/>
      <c r="BP19" s="25"/>
      <c r="BQ19" s="25"/>
      <c r="BR19" s="25"/>
      <c r="BS19" s="25"/>
      <c r="BT19" s="26"/>
    </row>
    <row r="20" spans="2:73" x14ac:dyDescent="0.35">
      <c r="B20" s="28"/>
      <c r="C20"/>
      <c r="D20"/>
      <c r="E20"/>
      <c r="F20" s="28" t="e">
        <f t="shared" si="8"/>
        <v>#DIV/0!</v>
      </c>
      <c r="I20" s="19" t="s">
        <v>50</v>
      </c>
      <c r="J20" s="2">
        <v>2548</v>
      </c>
      <c r="K20" s="2">
        <v>1858</v>
      </c>
      <c r="L20" s="2">
        <v>6618</v>
      </c>
      <c r="M20" s="2">
        <v>5294</v>
      </c>
      <c r="N20" s="2">
        <v>4567</v>
      </c>
      <c r="O20" s="2">
        <v>3363</v>
      </c>
      <c r="P20" s="2">
        <v>4441</v>
      </c>
      <c r="Q20" s="2">
        <v>3035</v>
      </c>
      <c r="R20" s="2">
        <v>3735</v>
      </c>
      <c r="S20" s="2">
        <v>2621</v>
      </c>
      <c r="T20" s="2">
        <v>3438</v>
      </c>
      <c r="U20" s="2">
        <v>2708</v>
      </c>
      <c r="V20" s="2">
        <v>2260</v>
      </c>
      <c r="W20" s="2">
        <v>1619</v>
      </c>
      <c r="X20" s="2">
        <v>27607</v>
      </c>
      <c r="Y20" s="2">
        <v>20498</v>
      </c>
      <c r="Z20" s="2"/>
      <c r="AQ20" s="20">
        <f>(AO20-AP20)/7</f>
        <v>0</v>
      </c>
      <c r="AR20" s="20"/>
      <c r="AT20" s="19" t="s">
        <v>50</v>
      </c>
      <c r="AU20" s="2">
        <v>2548</v>
      </c>
      <c r="AV20" s="2">
        <v>1858</v>
      </c>
      <c r="AW20" s="2">
        <v>6618</v>
      </c>
      <c r="AX20" s="2">
        <v>5294</v>
      </c>
      <c r="AY20" s="2">
        <v>4567</v>
      </c>
      <c r="AZ20" s="2">
        <v>3363</v>
      </c>
      <c r="BA20" s="2">
        <v>4441</v>
      </c>
      <c r="BB20" s="2">
        <v>3035</v>
      </c>
      <c r="BC20" s="2">
        <v>3735</v>
      </c>
      <c r="BD20" s="2">
        <v>2621</v>
      </c>
      <c r="BE20" s="2">
        <v>3438</v>
      </c>
      <c r="BF20" s="2">
        <v>2708</v>
      </c>
      <c r="BG20" s="2">
        <v>2260</v>
      </c>
      <c r="BH20" s="2">
        <v>1619</v>
      </c>
      <c r="BI20" s="2">
        <v>27607</v>
      </c>
      <c r="BJ20" s="2">
        <v>20498</v>
      </c>
      <c r="BK20" s="2"/>
    </row>
    <row r="21" spans="2:73" x14ac:dyDescent="0.35">
      <c r="I21" s="19" t="s">
        <v>38</v>
      </c>
      <c r="J21" s="2">
        <v>33789</v>
      </c>
      <c r="K21" s="2">
        <v>25435</v>
      </c>
      <c r="L21" s="2">
        <v>85120</v>
      </c>
      <c r="M21" s="2">
        <v>70761</v>
      </c>
      <c r="N21" s="2">
        <v>59660</v>
      </c>
      <c r="O21" s="2">
        <v>44248</v>
      </c>
      <c r="P21" s="2">
        <v>58321</v>
      </c>
      <c r="Q21" s="2">
        <v>42425</v>
      </c>
      <c r="R21" s="2">
        <v>48363</v>
      </c>
      <c r="S21" s="2">
        <v>35221</v>
      </c>
      <c r="T21" s="2">
        <v>46039</v>
      </c>
      <c r="U21" s="2">
        <v>36370</v>
      </c>
      <c r="V21" s="2">
        <v>29468</v>
      </c>
      <c r="W21" s="2">
        <v>22236</v>
      </c>
      <c r="X21" s="2">
        <v>360760</v>
      </c>
      <c r="Y21" s="2">
        <v>276696</v>
      </c>
      <c r="Z21" s="2"/>
      <c r="AT21" s="19" t="s">
        <v>38</v>
      </c>
      <c r="AU21" s="2">
        <v>33789</v>
      </c>
      <c r="AV21" s="2">
        <v>25435</v>
      </c>
      <c r="AW21" s="2">
        <v>85120</v>
      </c>
      <c r="AX21" s="2">
        <v>70761</v>
      </c>
      <c r="AY21" s="2">
        <v>59660</v>
      </c>
      <c r="AZ21" s="2">
        <v>44248</v>
      </c>
      <c r="BA21" s="2">
        <v>58321</v>
      </c>
      <c r="BB21" s="2">
        <v>42425</v>
      </c>
      <c r="BC21" s="2">
        <v>48363</v>
      </c>
      <c r="BD21" s="2">
        <v>35221</v>
      </c>
      <c r="BE21" s="2">
        <v>46039</v>
      </c>
      <c r="BF21" s="2">
        <v>36370</v>
      </c>
      <c r="BG21" s="2">
        <v>29468</v>
      </c>
      <c r="BH21" s="2">
        <v>22236</v>
      </c>
      <c r="BI21" s="2">
        <v>360760</v>
      </c>
      <c r="BJ21" s="2">
        <v>276696</v>
      </c>
      <c r="BK21" s="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21"/>
  <sheetViews>
    <sheetView topLeftCell="BH1" zoomScale="55" zoomScaleNormal="55" workbookViewId="0">
      <selection activeCell="BN6" sqref="BN6"/>
    </sheetView>
  </sheetViews>
  <sheetFormatPr defaultRowHeight="14.5" x14ac:dyDescent="0.35"/>
  <cols>
    <col min="1" max="1" width="9.1796875" style="48"/>
    <col min="2" max="2" width="19.1796875" style="48" bestFit="1" customWidth="1"/>
    <col min="3" max="3" width="33.08984375" style="48" bestFit="1" customWidth="1"/>
    <col min="4" max="4" width="31.36328125" style="48" bestFit="1" customWidth="1"/>
    <col min="5" max="6" width="9.1796875" style="48"/>
    <col min="8" max="8" width="19.1796875" bestFit="1" customWidth="1"/>
    <col min="9" max="9" width="33.08984375" bestFit="1" customWidth="1"/>
    <col min="10" max="10" width="31.36328125" bestFit="1" customWidth="1"/>
    <col min="11" max="11" width="33.08984375" bestFit="1" customWidth="1"/>
    <col min="12" max="12" width="31.36328125" bestFit="1" customWidth="1"/>
    <col min="13" max="13" width="33.08984375" bestFit="1" customWidth="1"/>
    <col min="14" max="14" width="31.36328125" bestFit="1" customWidth="1"/>
    <col min="15" max="15" width="33.08984375" bestFit="1" customWidth="1"/>
    <col min="16" max="16" width="31.36328125" bestFit="1" customWidth="1"/>
    <col min="17" max="17" width="33.08984375" bestFit="1" customWidth="1"/>
    <col min="18" max="18" width="31.36328125" bestFit="1" customWidth="1"/>
    <col min="19" max="19" width="33.08984375" bestFit="1" customWidth="1"/>
    <col min="20" max="20" width="31.36328125" bestFit="1" customWidth="1"/>
    <col min="21" max="21" width="33.08984375" bestFit="1" customWidth="1"/>
    <col min="22" max="22" width="31.36328125" bestFit="1" customWidth="1"/>
    <col min="23" max="23" width="40.08984375" bestFit="1" customWidth="1"/>
    <col min="24" max="24" width="38.54296875" bestFit="1" customWidth="1"/>
    <col min="25" max="25" width="28.26953125" customWidth="1"/>
    <col min="39" max="39" width="19.1796875" bestFit="1" customWidth="1"/>
    <col min="40" max="40" width="33.08984375" bestFit="1" customWidth="1"/>
    <col min="41" max="41" width="31.36328125" bestFit="1" customWidth="1"/>
    <col min="46" max="46" width="19.1796875" bestFit="1" customWidth="1"/>
    <col min="47" max="47" width="33.08984375" bestFit="1" customWidth="1"/>
    <col min="48" max="48" width="31.36328125" bestFit="1" customWidth="1"/>
    <col min="49" max="49" width="33.08984375" bestFit="1" customWidth="1"/>
    <col min="50" max="50" width="31.36328125" bestFit="1" customWidth="1"/>
    <col min="51" max="51" width="33.08984375" bestFit="1" customWidth="1"/>
    <col min="52" max="52" width="31.36328125" bestFit="1" customWidth="1"/>
    <col min="53" max="53" width="33.08984375" bestFit="1" customWidth="1"/>
    <col min="54" max="54" width="31.36328125" bestFit="1" customWidth="1"/>
    <col min="55" max="55" width="33.08984375" bestFit="1" customWidth="1"/>
    <col min="56" max="56" width="31.36328125" bestFit="1" customWidth="1"/>
    <col min="57" max="57" width="33.08984375" bestFit="1" customWidth="1"/>
    <col min="58" max="58" width="31.36328125" bestFit="1" customWidth="1"/>
    <col min="59" max="59" width="33.08984375" bestFit="1" customWidth="1"/>
    <col min="60" max="60" width="31.36328125" bestFit="1" customWidth="1"/>
    <col min="61" max="61" width="40.08984375" bestFit="1" customWidth="1"/>
    <col min="62" max="62" width="38.54296875" bestFit="1" customWidth="1"/>
    <col min="63" max="63" width="28.26953125" customWidth="1"/>
  </cols>
  <sheetData>
    <row r="1" spans="1:73" s="17" customFormat="1" x14ac:dyDescent="0.35">
      <c r="A1" s="37"/>
      <c r="B1" s="43" t="s">
        <v>276</v>
      </c>
      <c r="C1" s="50"/>
      <c r="D1" s="50"/>
      <c r="E1" s="50"/>
      <c r="F1" s="37"/>
      <c r="G1" s="37"/>
      <c r="H1" s="192" t="s">
        <v>277</v>
      </c>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12"/>
      <c r="AJ1" s="112"/>
      <c r="AK1" s="37"/>
      <c r="AM1" s="191" t="s">
        <v>262</v>
      </c>
      <c r="AN1" s="191"/>
      <c r="AO1" s="191"/>
      <c r="AP1" s="191"/>
      <c r="AT1" s="191" t="s">
        <v>264</v>
      </c>
      <c r="AU1" s="191"/>
      <c r="AV1" s="191"/>
      <c r="AW1" s="191"/>
      <c r="AX1" s="191"/>
      <c r="AY1" s="191"/>
      <c r="AZ1" s="191"/>
      <c r="BA1" s="191"/>
      <c r="BB1" s="191"/>
      <c r="BC1" s="191"/>
      <c r="BD1" s="191"/>
      <c r="BE1" s="191"/>
      <c r="BF1" s="191"/>
      <c r="BG1" s="191"/>
      <c r="BH1" s="191"/>
      <c r="BI1" s="191"/>
      <c r="BJ1" s="191"/>
      <c r="BK1" s="191"/>
      <c r="BL1" s="191"/>
      <c r="BM1" s="191"/>
      <c r="BN1" s="191"/>
      <c r="BO1" s="191"/>
    </row>
    <row r="3" spans="1:73" x14ac:dyDescent="0.35">
      <c r="B3" s="18" t="s">
        <v>39</v>
      </c>
      <c r="C3" t="s" vm="1">
        <v>334</v>
      </c>
      <c r="D3"/>
      <c r="H3" s="18" t="s">
        <v>39</v>
      </c>
      <c r="I3" t="s" vm="1">
        <v>334</v>
      </c>
      <c r="AM3" s="18" t="s">
        <v>39</v>
      </c>
      <c r="AN3" t="s" vm="1">
        <v>334</v>
      </c>
      <c r="AT3" s="18" t="s">
        <v>39</v>
      </c>
      <c r="AU3" t="s" vm="1">
        <v>334</v>
      </c>
    </row>
    <row r="4" spans="1:73" x14ac:dyDescent="0.35">
      <c r="B4"/>
      <c r="C4"/>
      <c r="D4"/>
    </row>
    <row r="5" spans="1:73" x14ac:dyDescent="0.35">
      <c r="B5" s="18" t="s">
        <v>37</v>
      </c>
      <c r="C5" t="s">
        <v>179</v>
      </c>
      <c r="D5" t="s">
        <v>180</v>
      </c>
      <c r="I5" s="18" t="s">
        <v>41</v>
      </c>
      <c r="AB5" t="s">
        <v>40</v>
      </c>
      <c r="AC5" t="s">
        <v>1</v>
      </c>
      <c r="AD5" t="s">
        <v>220</v>
      </c>
      <c r="AE5" t="s">
        <v>249</v>
      </c>
      <c r="AF5" t="s">
        <v>217</v>
      </c>
      <c r="AG5" t="s">
        <v>218</v>
      </c>
      <c r="AH5" t="s">
        <v>252</v>
      </c>
      <c r="AI5" t="s">
        <v>251</v>
      </c>
      <c r="AM5" s="18" t="s">
        <v>37</v>
      </c>
      <c r="AN5" t="s">
        <v>179</v>
      </c>
      <c r="AO5" t="s">
        <v>180</v>
      </c>
      <c r="AU5" s="18" t="s">
        <v>41</v>
      </c>
      <c r="BN5" t="s">
        <v>40</v>
      </c>
      <c r="BO5" t="s">
        <v>1</v>
      </c>
      <c r="BP5" t="s">
        <v>220</v>
      </c>
      <c r="BQ5" t="s">
        <v>249</v>
      </c>
      <c r="BR5" t="s">
        <v>217</v>
      </c>
      <c r="BS5" t="s">
        <v>218</v>
      </c>
      <c r="BT5" t="s">
        <v>252</v>
      </c>
      <c r="BU5" t="s">
        <v>251</v>
      </c>
    </row>
    <row r="6" spans="1:73" x14ac:dyDescent="0.35">
      <c r="A6" s="28"/>
      <c r="B6" s="19">
        <v>1</v>
      </c>
      <c r="C6" s="2">
        <v>2180</v>
      </c>
      <c r="D6" s="2">
        <v>1811</v>
      </c>
      <c r="E6" s="28">
        <f>D6/C6</f>
        <v>0.83073394495412844</v>
      </c>
      <c r="F6" s="28"/>
      <c r="G6" s="28"/>
      <c r="I6" t="s">
        <v>282</v>
      </c>
      <c r="K6" t="s">
        <v>1</v>
      </c>
      <c r="M6" t="s">
        <v>220</v>
      </c>
      <c r="O6" t="s">
        <v>253</v>
      </c>
      <c r="Q6" t="s">
        <v>250</v>
      </c>
      <c r="S6" t="s">
        <v>217</v>
      </c>
      <c r="U6" t="s">
        <v>218</v>
      </c>
      <c r="W6" t="s">
        <v>181</v>
      </c>
      <c r="X6" t="s">
        <v>182</v>
      </c>
      <c r="Z6" s="28"/>
      <c r="AA6" s="20" t="s">
        <v>42</v>
      </c>
      <c r="AB6" s="28">
        <f>VLOOKUP($AA6,$H$8:$X$1048576,17,FALSE)/VLOOKUP($AA6,$H$8:$X$1048576,16,FALSE)</f>
        <v>0.83073394495412844</v>
      </c>
      <c r="AC6" s="28">
        <f>VLOOKUP($AA6,$H$8:$X$1048576,5,FALSE)/VLOOKUP($AA6,$H$8:$X$1048576,4,FALSE)</f>
        <v>0.84824902723735407</v>
      </c>
      <c r="AD6" s="28">
        <f>VLOOKUP($AA6,$H$8:$X$1048576,7,FALSE)/VLOOKUP($AA6,$H$8:$X$1048576,6,FALSE)</f>
        <v>0.87472035794183445</v>
      </c>
      <c r="AE6" s="28">
        <f>VLOOKUP($AA6,$H$8:$X$1048576,9,FALSE)/VLOOKUP($AA6,$H$8:$X$1048576,8,FALSE)</f>
        <v>0.73351648351648346</v>
      </c>
      <c r="AF6" s="28">
        <f>VLOOKUP($AA6,$H$8:$X$1048576,13,FALSE)/VLOOKUP($AA6,$H$8:$X$1048576,12,FALSE)</f>
        <v>0.74222222222222223</v>
      </c>
      <c r="AG6" s="28">
        <f>VLOOKUP($AA6,$H$8:$X$1048576,15,FALSE)/VLOOKUP($AA6,$H$8:$X$1048576,14,FALSE)</f>
        <v>0.89682539682539686</v>
      </c>
      <c r="AH6" s="28">
        <f>VLOOKUP($AA6,$H$8:$X$1048576,3,FALSE)/VLOOKUP($AA6,$H$8:$X$1048576,2,FALSE)</f>
        <v>0.33333333333333331</v>
      </c>
      <c r="AI6" s="28">
        <f>VLOOKUP($AA6,$H$8:$X$1048576,11,FALSE)/VLOOKUP($AA6,$H$8:$X$1048576,10,FALSE)</f>
        <v>0.94331065759637189</v>
      </c>
      <c r="AJ6" s="28"/>
      <c r="AK6" s="28"/>
      <c r="AM6" s="19">
        <v>1</v>
      </c>
      <c r="AN6" s="2">
        <v>2180</v>
      </c>
      <c r="AO6" s="2">
        <v>1811</v>
      </c>
      <c r="AP6" s="26">
        <f>(AN6-D6)/4</f>
        <v>92.25</v>
      </c>
      <c r="AQ6" s="51"/>
      <c r="AR6" s="26"/>
      <c r="AU6" t="s">
        <v>282</v>
      </c>
      <c r="AW6" t="s">
        <v>1</v>
      </c>
      <c r="AY6" t="s">
        <v>220</v>
      </c>
      <c r="BA6" t="s">
        <v>253</v>
      </c>
      <c r="BC6" t="s">
        <v>250</v>
      </c>
      <c r="BE6" t="s">
        <v>217</v>
      </c>
      <c r="BG6" t="s">
        <v>218</v>
      </c>
      <c r="BI6" t="s">
        <v>181</v>
      </c>
      <c r="BJ6" t="s">
        <v>182</v>
      </c>
      <c r="BM6" s="52" t="s">
        <v>42</v>
      </c>
      <c r="BN6" s="25">
        <f>(VLOOKUP($BM6,$AT$8:$BJ$1048576,16,FALSE)-VLOOKUP($BM6,$AT$8:$BJ$1048576,17,FALSE))/7</f>
        <v>52.714285714285715</v>
      </c>
      <c r="BO6" s="25">
        <f>(VLOOKUP($BM6,$AT$8:$BJ$1048576,4,FALSE)-VLOOKUP($BM6,$AT$8:$BJ$1048576,5,FALSE))/7</f>
        <v>11.142857142857142</v>
      </c>
      <c r="BP6" s="25">
        <f>(VLOOKUP($BM6,$AT$8:$BJ$1048576,6,FALSE)-VLOOKUP($BM6,$AT$8:$BJ$1048576,7,FALSE))/7</f>
        <v>8</v>
      </c>
      <c r="BQ6" s="25">
        <f>(VLOOKUP($BM6,$AT$8:$BJ$1048576,8,FALSE)-VLOOKUP($BM6,$AT$8:$BJ$1048576,9,FALSE))/7</f>
        <v>13.857142857142858</v>
      </c>
      <c r="BR6" s="25">
        <f>(VLOOKUP($BM6,$AT$8:$BJ$1048576,12,FALSE)-VLOOKUP($BM6,$AT$8:$BJ$1048576,13,FALSE))/7</f>
        <v>8.2857142857142865</v>
      </c>
      <c r="BS6" s="25">
        <f>(VLOOKUP($BM6,$AT$8:$BJ$1048576,14,FALSE)-VLOOKUP($BM6,$AT$8:$BJ$1048576,15,FALSE))/7</f>
        <v>1.8571428571428572</v>
      </c>
      <c r="BT6" s="25">
        <f>(VLOOKUP($BM6,$AT$8:$BJ$1048576,2,FALSE)-VLOOKUP($BM6,$AT$8:$BJ$1048576,3,FALSE))/7</f>
        <v>6</v>
      </c>
      <c r="BU6" s="25">
        <f>(VLOOKUP($BM6,$AT$8:$BJ$1048576,10,FALSE)-VLOOKUP($BM6,$AT$8:$BJ$1048576,11,FALSE))/7</f>
        <v>3.5714285714285716</v>
      </c>
    </row>
    <row r="7" spans="1:73" x14ac:dyDescent="0.35">
      <c r="A7" s="28"/>
      <c r="B7" s="19">
        <v>2</v>
      </c>
      <c r="C7" s="2">
        <v>2219</v>
      </c>
      <c r="D7" s="2">
        <v>1797</v>
      </c>
      <c r="E7" s="28">
        <f>D7/C7</f>
        <v>0.80982424515547546</v>
      </c>
      <c r="F7" s="28"/>
      <c r="G7" s="28"/>
      <c r="H7" s="18" t="s">
        <v>37</v>
      </c>
      <c r="I7" t="s">
        <v>179</v>
      </c>
      <c r="J7" t="s">
        <v>180</v>
      </c>
      <c r="K7" t="s">
        <v>179</v>
      </c>
      <c r="L7" t="s">
        <v>180</v>
      </c>
      <c r="M7" t="s">
        <v>179</v>
      </c>
      <c r="N7" t="s">
        <v>180</v>
      </c>
      <c r="O7" t="s">
        <v>179</v>
      </c>
      <c r="P7" t="s">
        <v>180</v>
      </c>
      <c r="Q7" t="s">
        <v>179</v>
      </c>
      <c r="R7" t="s">
        <v>180</v>
      </c>
      <c r="S7" t="s">
        <v>179</v>
      </c>
      <c r="T7" t="s">
        <v>180</v>
      </c>
      <c r="U7" t="s">
        <v>179</v>
      </c>
      <c r="V7" t="s">
        <v>180</v>
      </c>
      <c r="Z7" s="28"/>
      <c r="AA7" s="20" t="s">
        <v>43</v>
      </c>
      <c r="AB7" s="28">
        <f t="shared" ref="AB7:AB18" si="0">VLOOKUP($AA7,$H$8:$X$1048576,17,FALSE)/VLOOKUP($AA7,$H$8:$X$1048576,16,FALSE)</f>
        <v>0.80982424515547546</v>
      </c>
      <c r="AC7" s="28">
        <f t="shared" ref="AC7:AC18" si="1">VLOOKUP($AA7,$H$8:$X$1048576,5,FALSE)/VLOOKUP($AA7,$H$8:$X$1048576,4,FALSE)</f>
        <v>0.79014598540145986</v>
      </c>
      <c r="AD7" s="28">
        <f t="shared" ref="AD7:AD18" si="2">VLOOKUP($AA7,$H$8:$X$1048576,7,FALSE)/VLOOKUP($AA7,$H$8:$X$1048576,6,FALSE)</f>
        <v>0.8616071428571429</v>
      </c>
      <c r="AE7" s="28">
        <f t="shared" ref="AE7:AE18" si="3">VLOOKUP($AA7,$H$8:$X$1048576,9,FALSE)/VLOOKUP($AA7,$H$8:$X$1048576,8,FALSE)</f>
        <v>0.71390374331550799</v>
      </c>
      <c r="AF7" s="28">
        <f t="shared" ref="AF7:AF18" si="4">VLOOKUP($AA7,$H$8:$X$1048576,13,FALSE)/VLOOKUP($AA7,$H$8:$X$1048576,12,FALSE)</f>
        <v>0.74429223744292239</v>
      </c>
      <c r="AG7" s="28">
        <f t="shared" ref="AG7:AG18" si="5">VLOOKUP($AA7,$H$8:$X$1048576,15,FALSE)/VLOOKUP($AA7,$H$8:$X$1048576,14,FALSE)</f>
        <v>0.81746031746031744</v>
      </c>
      <c r="AH7" s="28">
        <f t="shared" ref="AH7:AH18" si="6">VLOOKUP($AA7,$H$8:$X$1048576,3,FALSE)/VLOOKUP($AA7,$H$8:$X$1048576,2,FALSE)</f>
        <v>0.68253968253968256</v>
      </c>
      <c r="AI7" s="28">
        <f t="shared" ref="AI7:AI17" si="7">VLOOKUP($AA7,$H$8:$X$1048576,11,FALSE)/VLOOKUP($AA7,$H$8:$X$1048576,10,FALSE)</f>
        <v>0.91156462585034015</v>
      </c>
      <c r="AJ7" s="28"/>
      <c r="AK7" s="28"/>
      <c r="AM7" s="19">
        <v>2</v>
      </c>
      <c r="AN7" s="2">
        <v>2219</v>
      </c>
      <c r="AO7" s="2">
        <v>1797</v>
      </c>
      <c r="AP7" s="26">
        <f t="shared" ref="AP7:AP20" si="8">(AN7-D7)/7</f>
        <v>60.285714285714285</v>
      </c>
      <c r="AQ7" s="51"/>
      <c r="AR7" s="26"/>
      <c r="AT7" s="18" t="s">
        <v>37</v>
      </c>
      <c r="AU7" t="s">
        <v>179</v>
      </c>
      <c r="AV7" t="s">
        <v>180</v>
      </c>
      <c r="AW7" t="s">
        <v>179</v>
      </c>
      <c r="AX7" t="s">
        <v>180</v>
      </c>
      <c r="AY7" t="s">
        <v>179</v>
      </c>
      <c r="AZ7" t="s">
        <v>180</v>
      </c>
      <c r="BA7" t="s">
        <v>179</v>
      </c>
      <c r="BB7" t="s">
        <v>180</v>
      </c>
      <c r="BC7" t="s">
        <v>179</v>
      </c>
      <c r="BD7" t="s">
        <v>180</v>
      </c>
      <c r="BE7" t="s">
        <v>179</v>
      </c>
      <c r="BF7" t="s">
        <v>180</v>
      </c>
      <c r="BG7" t="s">
        <v>179</v>
      </c>
      <c r="BH7" t="s">
        <v>180</v>
      </c>
      <c r="BM7" s="52" t="s">
        <v>43</v>
      </c>
      <c r="BN7" s="25">
        <f t="shared" ref="BN7:BN18" si="9">(VLOOKUP($BM7,$AT$8:$BJ$1048576,16,FALSE)-VLOOKUP($BM7,$AT$8:$BJ$1048576,17,FALSE))/7</f>
        <v>60.285714285714285</v>
      </c>
      <c r="BO7" s="25">
        <f t="shared" ref="BO7:BO18" si="10">(VLOOKUP($BM7,$AT$8:$BJ$1048576,4,FALSE)-VLOOKUP($BM7,$AT$8:$BJ$1048576,5,FALSE))/7</f>
        <v>16.428571428571427</v>
      </c>
      <c r="BP7" s="25">
        <f t="shared" ref="BP7:BP18" si="11">(VLOOKUP($BM7,$AT$8:$BJ$1048576,6,FALSE)-VLOOKUP($BM7,$AT$8:$BJ$1048576,7,FALSE))/7</f>
        <v>8.8571428571428577</v>
      </c>
      <c r="BQ7" s="25">
        <f t="shared" ref="BQ7:BQ18" si="12">(VLOOKUP($BM7,$AT$8:$BJ$1048576,8,FALSE)-VLOOKUP($BM7,$AT$8:$BJ$1048576,9,FALSE))/7</f>
        <v>15.285714285714286</v>
      </c>
      <c r="BR7" s="25">
        <f t="shared" ref="BR7:BR18" si="13">(VLOOKUP($BM7,$AT$8:$BJ$1048576,12,FALSE)-VLOOKUP($BM7,$AT$8:$BJ$1048576,13,FALSE))/7</f>
        <v>8</v>
      </c>
      <c r="BS7" s="25">
        <f t="shared" ref="BS7:BS18" si="14">(VLOOKUP($BM7,$AT$8:$BJ$1048576,14,FALSE)-VLOOKUP($BM7,$AT$8:$BJ$1048576,15,FALSE))/7</f>
        <v>3.2857142857142856</v>
      </c>
      <c r="BT7" s="25">
        <f t="shared" ref="BT7:BT18" si="15">(VLOOKUP($BM7,$AT$8:$BJ$1048576,2,FALSE)-VLOOKUP($BM7,$AT$8:$BJ$1048576,3,FALSE))/7</f>
        <v>2.8571428571428572</v>
      </c>
      <c r="BU7" s="25">
        <f t="shared" ref="BU7:BU18" si="16">(VLOOKUP($BM7,$AT$8:$BJ$1048576,10,FALSE)-VLOOKUP($BM7,$AT$8:$BJ$1048576,11,FALSE))/7</f>
        <v>5.5714285714285712</v>
      </c>
    </row>
    <row r="8" spans="1:73" x14ac:dyDescent="0.35">
      <c r="A8" s="28"/>
      <c r="B8" s="19">
        <v>3</v>
      </c>
      <c r="C8" s="2">
        <v>2187</v>
      </c>
      <c r="D8" s="2">
        <v>1776</v>
      </c>
      <c r="E8" s="28">
        <f t="shared" ref="E8:E20" si="17">D8/C8</f>
        <v>0.81207133058984915</v>
      </c>
      <c r="F8" s="28"/>
      <c r="G8" s="28"/>
      <c r="H8" s="19" t="s">
        <v>42</v>
      </c>
      <c r="I8" s="2">
        <v>63</v>
      </c>
      <c r="J8" s="2">
        <v>21</v>
      </c>
      <c r="K8" s="2">
        <v>514</v>
      </c>
      <c r="L8" s="2">
        <v>436</v>
      </c>
      <c r="M8" s="2">
        <v>447</v>
      </c>
      <c r="N8" s="2">
        <v>391</v>
      </c>
      <c r="O8" s="2">
        <v>364</v>
      </c>
      <c r="P8" s="2">
        <v>267</v>
      </c>
      <c r="Q8" s="2">
        <v>441</v>
      </c>
      <c r="R8" s="2">
        <v>416</v>
      </c>
      <c r="S8" s="2">
        <v>225</v>
      </c>
      <c r="T8" s="2">
        <v>167</v>
      </c>
      <c r="U8" s="2">
        <v>126</v>
      </c>
      <c r="V8" s="2">
        <v>113</v>
      </c>
      <c r="W8" s="2">
        <v>2180</v>
      </c>
      <c r="X8" s="2">
        <v>1811</v>
      </c>
      <c r="Y8" s="2"/>
      <c r="Z8" s="28"/>
      <c r="AA8" s="20" t="s">
        <v>44</v>
      </c>
      <c r="AB8" s="28">
        <f t="shared" si="0"/>
        <v>0.81207133058984915</v>
      </c>
      <c r="AC8" s="28">
        <f t="shared" si="1"/>
        <v>0.8192090395480226</v>
      </c>
      <c r="AD8" s="28">
        <f t="shared" si="2"/>
        <v>0.83892617449664431</v>
      </c>
      <c r="AE8" s="28">
        <f t="shared" si="3"/>
        <v>0.72777777777777775</v>
      </c>
      <c r="AF8" s="28">
        <f t="shared" si="4"/>
        <v>0.71363636363636362</v>
      </c>
      <c r="AG8" s="28">
        <f t="shared" si="5"/>
        <v>0.84920634920634919</v>
      </c>
      <c r="AH8" s="28">
        <f t="shared" si="6"/>
        <v>0.77419354838709675</v>
      </c>
      <c r="AI8" s="28">
        <f t="shared" si="7"/>
        <v>0.88888888888888884</v>
      </c>
      <c r="AJ8" s="28"/>
      <c r="AK8" s="28"/>
      <c r="AM8" s="19">
        <v>3</v>
      </c>
      <c r="AN8" s="2">
        <v>2187</v>
      </c>
      <c r="AO8" s="2">
        <v>1776</v>
      </c>
      <c r="AP8" s="26">
        <f t="shared" si="8"/>
        <v>58.714285714285715</v>
      </c>
      <c r="AQ8" s="51"/>
      <c r="AR8" s="26"/>
      <c r="AT8" s="19" t="s">
        <v>42</v>
      </c>
      <c r="AU8" s="2">
        <v>63</v>
      </c>
      <c r="AV8" s="2">
        <v>21</v>
      </c>
      <c r="AW8" s="2">
        <v>514</v>
      </c>
      <c r="AX8" s="2">
        <v>436</v>
      </c>
      <c r="AY8" s="2">
        <v>447</v>
      </c>
      <c r="AZ8" s="2">
        <v>391</v>
      </c>
      <c r="BA8" s="2">
        <v>364</v>
      </c>
      <c r="BB8" s="2">
        <v>267</v>
      </c>
      <c r="BC8" s="2">
        <v>441</v>
      </c>
      <c r="BD8" s="2">
        <v>416</v>
      </c>
      <c r="BE8" s="2">
        <v>225</v>
      </c>
      <c r="BF8" s="2">
        <v>167</v>
      </c>
      <c r="BG8" s="2">
        <v>126</v>
      </c>
      <c r="BH8" s="2">
        <v>113</v>
      </c>
      <c r="BI8" s="2">
        <v>2180</v>
      </c>
      <c r="BJ8" s="2">
        <v>1811</v>
      </c>
      <c r="BK8" s="2"/>
      <c r="BM8" s="52" t="s">
        <v>44</v>
      </c>
      <c r="BN8" s="25">
        <f t="shared" si="9"/>
        <v>58.714285714285715</v>
      </c>
      <c r="BO8" s="25">
        <f t="shared" si="10"/>
        <v>13.714285714285714</v>
      </c>
      <c r="BP8" s="25">
        <f t="shared" si="11"/>
        <v>10.285714285714286</v>
      </c>
      <c r="BQ8" s="25">
        <f t="shared" si="12"/>
        <v>14</v>
      </c>
      <c r="BR8" s="25">
        <f t="shared" si="13"/>
        <v>9</v>
      </c>
      <c r="BS8" s="25">
        <f t="shared" si="14"/>
        <v>2.7142857142857144</v>
      </c>
      <c r="BT8" s="25">
        <f t="shared" si="15"/>
        <v>2</v>
      </c>
      <c r="BU8" s="25">
        <f t="shared" si="16"/>
        <v>7</v>
      </c>
    </row>
    <row r="9" spans="1:73" x14ac:dyDescent="0.35">
      <c r="A9" s="28"/>
      <c r="B9" s="19">
        <v>4</v>
      </c>
      <c r="C9" s="2">
        <v>2168</v>
      </c>
      <c r="D9" s="2">
        <v>1731</v>
      </c>
      <c r="E9" s="28">
        <f t="shared" si="17"/>
        <v>0.79843173431734316</v>
      </c>
      <c r="F9" s="28"/>
      <c r="G9" s="28"/>
      <c r="H9" s="19" t="s">
        <v>51</v>
      </c>
      <c r="I9" s="2">
        <v>63</v>
      </c>
      <c r="J9" s="2">
        <v>31</v>
      </c>
      <c r="K9" s="2">
        <v>547</v>
      </c>
      <c r="L9" s="2">
        <v>393</v>
      </c>
      <c r="M9" s="2">
        <v>477</v>
      </c>
      <c r="N9" s="2">
        <v>367</v>
      </c>
      <c r="O9" s="2">
        <v>360</v>
      </c>
      <c r="P9" s="2">
        <v>277</v>
      </c>
      <c r="Q9" s="2">
        <v>424</v>
      </c>
      <c r="R9" s="2">
        <v>357</v>
      </c>
      <c r="S9" s="2">
        <v>222</v>
      </c>
      <c r="T9" s="2">
        <v>170</v>
      </c>
      <c r="U9" s="2">
        <v>126</v>
      </c>
      <c r="V9" s="2">
        <v>76</v>
      </c>
      <c r="W9" s="2">
        <v>2219</v>
      </c>
      <c r="X9" s="2">
        <v>1671</v>
      </c>
      <c r="Y9" s="2"/>
      <c r="Z9" s="28"/>
      <c r="AA9" s="20" t="s">
        <v>45</v>
      </c>
      <c r="AB9" s="28">
        <f t="shared" si="0"/>
        <v>0.79843173431734316</v>
      </c>
      <c r="AC9" s="28">
        <f t="shared" si="1"/>
        <v>0.81070745697896751</v>
      </c>
      <c r="AD9" s="28">
        <f t="shared" si="2"/>
        <v>0.84684684684684686</v>
      </c>
      <c r="AE9" s="28">
        <f t="shared" si="3"/>
        <v>0.70604395604395609</v>
      </c>
      <c r="AF9" s="28">
        <f t="shared" si="4"/>
        <v>0.7982062780269058</v>
      </c>
      <c r="AG9" s="28">
        <f t="shared" si="5"/>
        <v>0.77777777777777779</v>
      </c>
      <c r="AH9" s="28">
        <f t="shared" si="6"/>
        <v>0.58730158730158732</v>
      </c>
      <c r="AI9" s="28">
        <f t="shared" si="7"/>
        <v>0.84941176470588231</v>
      </c>
      <c r="AJ9" s="28"/>
      <c r="AK9" s="28"/>
      <c r="AM9" s="19">
        <v>4</v>
      </c>
      <c r="AN9" s="2">
        <v>2168</v>
      </c>
      <c r="AO9" s="2">
        <v>1731</v>
      </c>
      <c r="AP9" s="26">
        <f t="shared" si="8"/>
        <v>62.428571428571431</v>
      </c>
      <c r="AQ9" s="51"/>
      <c r="AR9" s="26"/>
      <c r="AT9" s="19" t="s">
        <v>51</v>
      </c>
      <c r="AU9" s="2">
        <v>63</v>
      </c>
      <c r="AV9" s="2">
        <v>31</v>
      </c>
      <c r="AW9" s="2">
        <v>547</v>
      </c>
      <c r="AX9" s="2">
        <v>393</v>
      </c>
      <c r="AY9" s="2">
        <v>477</v>
      </c>
      <c r="AZ9" s="2">
        <v>367</v>
      </c>
      <c r="BA9" s="2">
        <v>360</v>
      </c>
      <c r="BB9" s="2">
        <v>277</v>
      </c>
      <c r="BC9" s="2">
        <v>424</v>
      </c>
      <c r="BD9" s="2">
        <v>357</v>
      </c>
      <c r="BE9" s="2">
        <v>222</v>
      </c>
      <c r="BF9" s="2">
        <v>170</v>
      </c>
      <c r="BG9" s="2">
        <v>126</v>
      </c>
      <c r="BH9" s="2">
        <v>76</v>
      </c>
      <c r="BI9" s="2">
        <v>2219</v>
      </c>
      <c r="BJ9" s="2">
        <v>1671</v>
      </c>
      <c r="BK9" s="2"/>
      <c r="BM9" s="52" t="s">
        <v>45</v>
      </c>
      <c r="BN9" s="25">
        <f t="shared" si="9"/>
        <v>62.428571428571431</v>
      </c>
      <c r="BO9" s="25">
        <f t="shared" si="10"/>
        <v>14.142857142857142</v>
      </c>
      <c r="BP9" s="25">
        <f t="shared" si="11"/>
        <v>9.7142857142857135</v>
      </c>
      <c r="BQ9" s="25">
        <f t="shared" si="12"/>
        <v>15.285714285714286</v>
      </c>
      <c r="BR9" s="25">
        <f t="shared" si="13"/>
        <v>6.4285714285714288</v>
      </c>
      <c r="BS9" s="25">
        <f t="shared" si="14"/>
        <v>4</v>
      </c>
      <c r="BT9" s="25">
        <f t="shared" si="15"/>
        <v>3.7142857142857144</v>
      </c>
      <c r="BU9" s="25">
        <f t="shared" si="16"/>
        <v>9.1428571428571423</v>
      </c>
    </row>
    <row r="10" spans="1:73" x14ac:dyDescent="0.35">
      <c r="A10" s="28"/>
      <c r="B10" s="19">
        <v>5</v>
      </c>
      <c r="C10" s="2">
        <v>2160</v>
      </c>
      <c r="D10" s="2">
        <v>1622</v>
      </c>
      <c r="E10" s="28">
        <f t="shared" si="17"/>
        <v>0.75092592592592589</v>
      </c>
      <c r="F10" s="28"/>
      <c r="G10" s="28"/>
      <c r="H10" s="19" t="s">
        <v>52</v>
      </c>
      <c r="I10" s="2">
        <v>63</v>
      </c>
      <c r="J10" s="2">
        <v>14</v>
      </c>
      <c r="K10" s="2">
        <v>550</v>
      </c>
      <c r="L10" s="2">
        <v>386</v>
      </c>
      <c r="M10" s="2">
        <v>479</v>
      </c>
      <c r="N10" s="2">
        <v>350</v>
      </c>
      <c r="O10" s="2">
        <v>366</v>
      </c>
      <c r="P10" s="2">
        <v>264</v>
      </c>
      <c r="Q10" s="2">
        <v>443</v>
      </c>
      <c r="R10" s="2">
        <v>350</v>
      </c>
      <c r="S10" s="2">
        <v>217</v>
      </c>
      <c r="T10" s="2">
        <v>151</v>
      </c>
      <c r="U10" s="2">
        <v>126</v>
      </c>
      <c r="V10" s="2">
        <v>95</v>
      </c>
      <c r="W10" s="2">
        <v>2244</v>
      </c>
      <c r="X10" s="2">
        <v>1610</v>
      </c>
      <c r="Y10" s="2"/>
      <c r="Z10" s="28"/>
      <c r="AA10" s="20" t="s">
        <v>46</v>
      </c>
      <c r="AB10" s="28">
        <f t="shared" si="0"/>
        <v>0.75092592592592589</v>
      </c>
      <c r="AC10" s="28">
        <f t="shared" si="1"/>
        <v>0.63513513513513509</v>
      </c>
      <c r="AD10" s="28">
        <f t="shared" si="2"/>
        <v>0.82222222222222219</v>
      </c>
      <c r="AE10" s="28">
        <f t="shared" si="3"/>
        <v>0.74293785310734461</v>
      </c>
      <c r="AF10" s="28">
        <f t="shared" si="4"/>
        <v>0.76605504587155959</v>
      </c>
      <c r="AG10" s="28">
        <f t="shared" si="5"/>
        <v>0.82539682539682535</v>
      </c>
      <c r="AH10" s="28">
        <f t="shared" si="6"/>
        <v>0.44444444444444442</v>
      </c>
      <c r="AI10" s="28">
        <f t="shared" si="7"/>
        <v>0.83758700696055688</v>
      </c>
      <c r="AJ10" s="28"/>
      <c r="AK10" s="28"/>
      <c r="AM10" s="19">
        <v>5</v>
      </c>
      <c r="AN10" s="2">
        <v>2160</v>
      </c>
      <c r="AO10" s="2">
        <v>1622</v>
      </c>
      <c r="AP10" s="26">
        <f t="shared" si="8"/>
        <v>76.857142857142861</v>
      </c>
      <c r="AQ10" s="51"/>
      <c r="AR10" s="26"/>
      <c r="AT10" s="19" t="s">
        <v>52</v>
      </c>
      <c r="AU10" s="2">
        <v>63</v>
      </c>
      <c r="AV10" s="2">
        <v>14</v>
      </c>
      <c r="AW10" s="2">
        <v>550</v>
      </c>
      <c r="AX10" s="2">
        <v>386</v>
      </c>
      <c r="AY10" s="2">
        <v>479</v>
      </c>
      <c r="AZ10" s="2">
        <v>350</v>
      </c>
      <c r="BA10" s="2">
        <v>366</v>
      </c>
      <c r="BB10" s="2">
        <v>264</v>
      </c>
      <c r="BC10" s="2">
        <v>443</v>
      </c>
      <c r="BD10" s="2">
        <v>350</v>
      </c>
      <c r="BE10" s="2">
        <v>217</v>
      </c>
      <c r="BF10" s="2">
        <v>151</v>
      </c>
      <c r="BG10" s="2">
        <v>126</v>
      </c>
      <c r="BH10" s="2">
        <v>95</v>
      </c>
      <c r="BI10" s="2">
        <v>2244</v>
      </c>
      <c r="BJ10" s="2">
        <v>1610</v>
      </c>
      <c r="BK10" s="2"/>
      <c r="BM10" s="20" t="s">
        <v>46</v>
      </c>
      <c r="BN10" s="25">
        <f t="shared" si="9"/>
        <v>76.857142857142861</v>
      </c>
      <c r="BO10" s="25">
        <f t="shared" si="10"/>
        <v>27</v>
      </c>
      <c r="BP10" s="25">
        <f t="shared" si="11"/>
        <v>11.428571428571429</v>
      </c>
      <c r="BQ10" s="25">
        <f t="shared" si="12"/>
        <v>13</v>
      </c>
      <c r="BR10" s="25">
        <f t="shared" si="13"/>
        <v>7.2857142857142856</v>
      </c>
      <c r="BS10" s="25">
        <f t="shared" si="14"/>
        <v>3.1428571428571428</v>
      </c>
      <c r="BT10" s="25">
        <f t="shared" si="15"/>
        <v>5</v>
      </c>
      <c r="BU10" s="25">
        <f t="shared" si="16"/>
        <v>10</v>
      </c>
    </row>
    <row r="11" spans="1:73" x14ac:dyDescent="0.35">
      <c r="A11" s="28"/>
      <c r="B11" s="19">
        <v>6</v>
      </c>
      <c r="C11" s="2">
        <v>2188</v>
      </c>
      <c r="D11" s="2">
        <v>1611</v>
      </c>
      <c r="E11" s="28">
        <f t="shared" si="17"/>
        <v>0.73628884826325414</v>
      </c>
      <c r="F11" s="28"/>
      <c r="G11" s="28"/>
      <c r="H11" s="19" t="s">
        <v>53</v>
      </c>
      <c r="I11" s="2">
        <v>63</v>
      </c>
      <c r="J11" s="2">
        <v>17</v>
      </c>
      <c r="K11" s="2">
        <v>553</v>
      </c>
      <c r="L11" s="2">
        <v>344</v>
      </c>
      <c r="M11" s="2">
        <v>469</v>
      </c>
      <c r="N11" s="2">
        <v>346</v>
      </c>
      <c r="O11" s="2">
        <v>352</v>
      </c>
      <c r="P11" s="2">
        <v>237</v>
      </c>
      <c r="Q11" s="2">
        <v>448</v>
      </c>
      <c r="R11" s="2">
        <v>342</v>
      </c>
      <c r="S11" s="2">
        <v>219</v>
      </c>
      <c r="T11" s="2">
        <v>166</v>
      </c>
      <c r="U11" s="2">
        <v>126</v>
      </c>
      <c r="V11" s="2">
        <v>81</v>
      </c>
      <c r="W11" s="2">
        <v>2230</v>
      </c>
      <c r="X11" s="2">
        <v>1533</v>
      </c>
      <c r="Y11" s="2"/>
      <c r="Z11" s="28"/>
      <c r="AA11" s="20" t="s">
        <v>47</v>
      </c>
      <c r="AB11" s="28">
        <f t="shared" si="0"/>
        <v>0.73628884826325414</v>
      </c>
      <c r="AC11" s="28">
        <f t="shared" si="1"/>
        <v>0.61776061776061775</v>
      </c>
      <c r="AD11" s="28">
        <f t="shared" si="2"/>
        <v>0.75413223140495866</v>
      </c>
      <c r="AE11" s="28">
        <f t="shared" si="3"/>
        <v>0.77521613832853031</v>
      </c>
      <c r="AF11" s="28">
        <f t="shared" si="4"/>
        <v>0.76681614349775784</v>
      </c>
      <c r="AG11" s="28">
        <f t="shared" si="5"/>
        <v>0.75396825396825395</v>
      </c>
      <c r="AH11" s="28">
        <f t="shared" si="6"/>
        <v>0.36507936507936506</v>
      </c>
      <c r="AI11" s="28">
        <f t="shared" si="7"/>
        <v>0.86182669789227162</v>
      </c>
      <c r="AJ11" s="28"/>
      <c r="AK11" s="28"/>
      <c r="AM11" s="19">
        <v>6</v>
      </c>
      <c r="AN11" s="2">
        <v>2188</v>
      </c>
      <c r="AO11" s="2">
        <v>1611</v>
      </c>
      <c r="AP11" s="26">
        <f t="shared" si="8"/>
        <v>82.428571428571431</v>
      </c>
      <c r="AQ11" s="51"/>
      <c r="AR11" s="26"/>
      <c r="AT11" s="19" t="s">
        <v>53</v>
      </c>
      <c r="AU11" s="2">
        <v>63</v>
      </c>
      <c r="AV11" s="2">
        <v>17</v>
      </c>
      <c r="AW11" s="2">
        <v>553</v>
      </c>
      <c r="AX11" s="2">
        <v>344</v>
      </c>
      <c r="AY11" s="2">
        <v>469</v>
      </c>
      <c r="AZ11" s="2">
        <v>346</v>
      </c>
      <c r="BA11" s="2">
        <v>352</v>
      </c>
      <c r="BB11" s="2">
        <v>237</v>
      </c>
      <c r="BC11" s="2">
        <v>448</v>
      </c>
      <c r="BD11" s="2">
        <v>342</v>
      </c>
      <c r="BE11" s="2">
        <v>219</v>
      </c>
      <c r="BF11" s="2">
        <v>166</v>
      </c>
      <c r="BG11" s="2">
        <v>126</v>
      </c>
      <c r="BH11" s="2">
        <v>81</v>
      </c>
      <c r="BI11" s="2">
        <v>2230</v>
      </c>
      <c r="BJ11" s="2">
        <v>1533</v>
      </c>
      <c r="BK11" s="2"/>
      <c r="BM11" s="20" t="s">
        <v>47</v>
      </c>
      <c r="BN11" s="25">
        <f t="shared" si="9"/>
        <v>82.428571428571431</v>
      </c>
      <c r="BO11" s="25">
        <f t="shared" si="10"/>
        <v>28.285714285714285</v>
      </c>
      <c r="BP11" s="25">
        <f t="shared" si="11"/>
        <v>17</v>
      </c>
      <c r="BQ11" s="25">
        <f t="shared" si="12"/>
        <v>11.142857142857142</v>
      </c>
      <c r="BR11" s="25">
        <f t="shared" si="13"/>
        <v>7.4285714285714288</v>
      </c>
      <c r="BS11" s="25">
        <f t="shared" si="14"/>
        <v>4.4285714285714288</v>
      </c>
      <c r="BT11" s="25">
        <f t="shared" si="15"/>
        <v>5.7142857142857144</v>
      </c>
      <c r="BU11" s="25">
        <f t="shared" si="16"/>
        <v>8.4285714285714288</v>
      </c>
    </row>
    <row r="12" spans="1:73" x14ac:dyDescent="0.35">
      <c r="A12" s="28"/>
      <c r="B12" s="19">
        <v>7</v>
      </c>
      <c r="C12" s="2">
        <v>2196</v>
      </c>
      <c r="D12" s="2">
        <v>1636</v>
      </c>
      <c r="E12" s="28">
        <f t="shared" si="17"/>
        <v>0.74499089253187611</v>
      </c>
      <c r="F12" s="28"/>
      <c r="G12" s="28"/>
      <c r="H12" s="19" t="s">
        <v>54</v>
      </c>
      <c r="I12" s="2">
        <v>63</v>
      </c>
      <c r="J12" s="2">
        <v>15</v>
      </c>
      <c r="K12" s="2">
        <v>553</v>
      </c>
      <c r="L12" s="2">
        <v>346</v>
      </c>
      <c r="M12" s="2">
        <v>473</v>
      </c>
      <c r="N12" s="2">
        <v>362</v>
      </c>
      <c r="O12" s="2">
        <v>354</v>
      </c>
      <c r="P12" s="2">
        <v>250</v>
      </c>
      <c r="Q12" s="2">
        <v>427</v>
      </c>
      <c r="R12" s="2">
        <v>358</v>
      </c>
      <c r="S12" s="2">
        <v>217</v>
      </c>
      <c r="T12" s="2">
        <v>152</v>
      </c>
      <c r="U12" s="2">
        <v>126</v>
      </c>
      <c r="V12" s="2">
        <v>90</v>
      </c>
      <c r="W12" s="2">
        <v>2213</v>
      </c>
      <c r="X12" s="2">
        <v>1573</v>
      </c>
      <c r="Y12" s="2"/>
      <c r="Z12" s="28"/>
      <c r="AA12" s="20" t="s">
        <v>48</v>
      </c>
      <c r="AB12" s="28">
        <f t="shared" si="0"/>
        <v>0.74499089253187611</v>
      </c>
      <c r="AC12" s="28">
        <f t="shared" si="1"/>
        <v>0.66216216216216217</v>
      </c>
      <c r="AD12" s="28">
        <f t="shared" si="2"/>
        <v>0.76954732510288071</v>
      </c>
      <c r="AE12" s="28">
        <f t="shared" si="3"/>
        <v>0.78151260504201681</v>
      </c>
      <c r="AF12" s="28">
        <f t="shared" si="4"/>
        <v>0.7901785714285714</v>
      </c>
      <c r="AG12" s="28">
        <f t="shared" si="5"/>
        <v>0.72222222222222221</v>
      </c>
      <c r="AH12" s="28">
        <f t="shared" si="6"/>
        <v>0.33333333333333331</v>
      </c>
      <c r="AI12" s="28">
        <f t="shared" si="7"/>
        <v>0.83175355450236965</v>
      </c>
      <c r="AJ12" s="28"/>
      <c r="AK12" s="28"/>
      <c r="AM12" s="19">
        <v>7</v>
      </c>
      <c r="AN12" s="2">
        <v>2196</v>
      </c>
      <c r="AO12" s="2">
        <v>1636</v>
      </c>
      <c r="AP12" s="26">
        <f t="shared" si="8"/>
        <v>80</v>
      </c>
      <c r="AQ12" s="51"/>
      <c r="AR12" s="26"/>
      <c r="AT12" s="19" t="s">
        <v>54</v>
      </c>
      <c r="AU12" s="2">
        <v>63</v>
      </c>
      <c r="AV12" s="2">
        <v>15</v>
      </c>
      <c r="AW12" s="2">
        <v>553</v>
      </c>
      <c r="AX12" s="2">
        <v>346</v>
      </c>
      <c r="AY12" s="2">
        <v>473</v>
      </c>
      <c r="AZ12" s="2">
        <v>362</v>
      </c>
      <c r="BA12" s="2">
        <v>354</v>
      </c>
      <c r="BB12" s="2">
        <v>250</v>
      </c>
      <c r="BC12" s="2">
        <v>427</v>
      </c>
      <c r="BD12" s="2">
        <v>358</v>
      </c>
      <c r="BE12" s="2">
        <v>217</v>
      </c>
      <c r="BF12" s="2">
        <v>152</v>
      </c>
      <c r="BG12" s="2">
        <v>126</v>
      </c>
      <c r="BH12" s="2">
        <v>90</v>
      </c>
      <c r="BI12" s="2">
        <v>2213</v>
      </c>
      <c r="BJ12" s="2">
        <v>1573</v>
      </c>
      <c r="BK12" s="2"/>
      <c r="BM12" s="20" t="s">
        <v>48</v>
      </c>
      <c r="BN12" s="25">
        <f t="shared" si="9"/>
        <v>80</v>
      </c>
      <c r="BO12" s="25">
        <f t="shared" si="10"/>
        <v>25</v>
      </c>
      <c r="BP12" s="25">
        <f t="shared" si="11"/>
        <v>16</v>
      </c>
      <c r="BQ12" s="25">
        <f t="shared" si="12"/>
        <v>11.142857142857142</v>
      </c>
      <c r="BR12" s="25">
        <f t="shared" si="13"/>
        <v>6.7142857142857144</v>
      </c>
      <c r="BS12" s="25">
        <f t="shared" si="14"/>
        <v>5</v>
      </c>
      <c r="BT12" s="25">
        <f t="shared" si="15"/>
        <v>6</v>
      </c>
      <c r="BU12" s="25">
        <f t="shared" si="16"/>
        <v>10.142857142857142</v>
      </c>
    </row>
    <row r="13" spans="1:73" x14ac:dyDescent="0.35">
      <c r="A13" s="28"/>
      <c r="B13" s="19">
        <v>8</v>
      </c>
      <c r="C13" s="2">
        <v>2187</v>
      </c>
      <c r="D13" s="2">
        <v>1646</v>
      </c>
      <c r="E13" s="28">
        <f t="shared" si="17"/>
        <v>0.75262917238225879</v>
      </c>
      <c r="F13" s="28"/>
      <c r="G13" s="28"/>
      <c r="H13" s="19" t="s">
        <v>43</v>
      </c>
      <c r="I13" s="2">
        <v>63</v>
      </c>
      <c r="J13" s="2">
        <v>43</v>
      </c>
      <c r="K13" s="2">
        <v>548</v>
      </c>
      <c r="L13" s="2">
        <v>433</v>
      </c>
      <c r="M13" s="2">
        <v>448</v>
      </c>
      <c r="N13" s="2">
        <v>386</v>
      </c>
      <c r="O13" s="2">
        <v>374</v>
      </c>
      <c r="P13" s="2">
        <v>267</v>
      </c>
      <c r="Q13" s="2">
        <v>441</v>
      </c>
      <c r="R13" s="2">
        <v>402</v>
      </c>
      <c r="S13" s="2">
        <v>219</v>
      </c>
      <c r="T13" s="2">
        <v>163</v>
      </c>
      <c r="U13" s="2">
        <v>126</v>
      </c>
      <c r="V13" s="2">
        <v>103</v>
      </c>
      <c r="W13" s="2">
        <v>2219</v>
      </c>
      <c r="X13" s="2">
        <v>1797</v>
      </c>
      <c r="Y13" s="2"/>
      <c r="Z13" s="28"/>
      <c r="AA13" s="20" t="s">
        <v>49</v>
      </c>
      <c r="AB13" s="28">
        <f t="shared" si="0"/>
        <v>0.75262917238225879</v>
      </c>
      <c r="AC13" s="28">
        <f t="shared" si="1"/>
        <v>0.66986564299424189</v>
      </c>
      <c r="AD13" s="28">
        <f t="shared" si="2"/>
        <v>0.74586776859504134</v>
      </c>
      <c r="AE13" s="28">
        <f t="shared" si="3"/>
        <v>0.79487179487179482</v>
      </c>
      <c r="AF13" s="28">
        <f t="shared" si="4"/>
        <v>0.78181818181818186</v>
      </c>
      <c r="AG13" s="28">
        <f t="shared" si="5"/>
        <v>0.76190476190476186</v>
      </c>
      <c r="AH13" s="28">
        <f t="shared" si="6"/>
        <v>0.42857142857142855</v>
      </c>
      <c r="AI13" s="28">
        <f t="shared" si="7"/>
        <v>0.85781990521327012</v>
      </c>
      <c r="AJ13" s="28"/>
      <c r="AK13" s="28"/>
      <c r="AM13" s="19">
        <v>8</v>
      </c>
      <c r="AN13" s="2">
        <v>2187</v>
      </c>
      <c r="AO13" s="2">
        <v>1646</v>
      </c>
      <c r="AP13" s="26">
        <f t="shared" si="8"/>
        <v>77.285714285714292</v>
      </c>
      <c r="AQ13" s="51"/>
      <c r="AR13" s="26"/>
      <c r="AT13" s="19" t="s">
        <v>43</v>
      </c>
      <c r="AU13" s="2">
        <v>63</v>
      </c>
      <c r="AV13" s="2">
        <v>43</v>
      </c>
      <c r="AW13" s="2">
        <v>548</v>
      </c>
      <c r="AX13" s="2">
        <v>433</v>
      </c>
      <c r="AY13" s="2">
        <v>448</v>
      </c>
      <c r="AZ13" s="2">
        <v>386</v>
      </c>
      <c r="BA13" s="2">
        <v>374</v>
      </c>
      <c r="BB13" s="2">
        <v>267</v>
      </c>
      <c r="BC13" s="2">
        <v>441</v>
      </c>
      <c r="BD13" s="2">
        <v>402</v>
      </c>
      <c r="BE13" s="2">
        <v>219</v>
      </c>
      <c r="BF13" s="2">
        <v>163</v>
      </c>
      <c r="BG13" s="2">
        <v>126</v>
      </c>
      <c r="BH13" s="2">
        <v>103</v>
      </c>
      <c r="BI13" s="2">
        <v>2219</v>
      </c>
      <c r="BJ13" s="2">
        <v>1797</v>
      </c>
      <c r="BK13" s="2"/>
      <c r="BM13" s="20" t="s">
        <v>49</v>
      </c>
      <c r="BN13" s="25">
        <f t="shared" si="9"/>
        <v>77.285714285714292</v>
      </c>
      <c r="BO13" s="25">
        <f t="shared" si="10"/>
        <v>24.571428571428573</v>
      </c>
      <c r="BP13" s="25">
        <f t="shared" si="11"/>
        <v>17.571428571428573</v>
      </c>
      <c r="BQ13" s="25">
        <f t="shared" si="12"/>
        <v>10.285714285714286</v>
      </c>
      <c r="BR13" s="25">
        <f t="shared" si="13"/>
        <v>6.8571428571428568</v>
      </c>
      <c r="BS13" s="25">
        <f t="shared" si="14"/>
        <v>4.2857142857142856</v>
      </c>
      <c r="BT13" s="25">
        <f t="shared" si="15"/>
        <v>5.1428571428571432</v>
      </c>
      <c r="BU13" s="25">
        <f t="shared" si="16"/>
        <v>8.5714285714285712</v>
      </c>
    </row>
    <row r="14" spans="1:73" x14ac:dyDescent="0.35">
      <c r="A14" s="28"/>
      <c r="B14" s="19">
        <v>9</v>
      </c>
      <c r="C14" s="2">
        <v>2207</v>
      </c>
      <c r="D14" s="2">
        <v>1640</v>
      </c>
      <c r="E14" s="28">
        <f t="shared" si="17"/>
        <v>0.74309016764839153</v>
      </c>
      <c r="F14" s="28"/>
      <c r="G14" s="28"/>
      <c r="H14" s="19" t="s">
        <v>44</v>
      </c>
      <c r="I14" s="2">
        <v>62</v>
      </c>
      <c r="J14" s="2">
        <v>48</v>
      </c>
      <c r="K14" s="2">
        <v>531</v>
      </c>
      <c r="L14" s="2">
        <v>435</v>
      </c>
      <c r="M14" s="2">
        <v>447</v>
      </c>
      <c r="N14" s="2">
        <v>375</v>
      </c>
      <c r="O14" s="2">
        <v>360</v>
      </c>
      <c r="P14" s="2">
        <v>262</v>
      </c>
      <c r="Q14" s="2">
        <v>441</v>
      </c>
      <c r="R14" s="2">
        <v>392</v>
      </c>
      <c r="S14" s="2">
        <v>220</v>
      </c>
      <c r="T14" s="2">
        <v>157</v>
      </c>
      <c r="U14" s="2">
        <v>126</v>
      </c>
      <c r="V14" s="2">
        <v>107</v>
      </c>
      <c r="W14" s="2">
        <v>2187</v>
      </c>
      <c r="X14" s="2">
        <v>1776</v>
      </c>
      <c r="Y14" s="2"/>
      <c r="Z14" s="28"/>
      <c r="AA14" s="20" t="s">
        <v>50</v>
      </c>
      <c r="AB14" s="28">
        <f t="shared" si="0"/>
        <v>0.74309016764839153</v>
      </c>
      <c r="AC14" s="28">
        <f t="shared" si="1"/>
        <v>0.69202898550724634</v>
      </c>
      <c r="AD14" s="28">
        <f t="shared" si="2"/>
        <v>0.71063829787234045</v>
      </c>
      <c r="AE14" s="28">
        <f t="shared" si="3"/>
        <v>0.77653631284916202</v>
      </c>
      <c r="AF14" s="28">
        <f t="shared" si="4"/>
        <v>0.86175115207373276</v>
      </c>
      <c r="AG14" s="28">
        <f t="shared" si="5"/>
        <v>0.70634920634920639</v>
      </c>
      <c r="AH14" s="28">
        <f t="shared" si="6"/>
        <v>0.33333333333333331</v>
      </c>
      <c r="AI14" s="28">
        <f t="shared" si="7"/>
        <v>0.82897862232779096</v>
      </c>
      <c r="AJ14" s="28"/>
      <c r="AK14" s="28"/>
      <c r="AM14" s="19">
        <v>9</v>
      </c>
      <c r="AN14" s="2">
        <v>2207</v>
      </c>
      <c r="AO14" s="2">
        <v>1640</v>
      </c>
      <c r="AP14" s="26">
        <f t="shared" si="8"/>
        <v>81</v>
      </c>
      <c r="AQ14" s="51"/>
      <c r="AR14" s="26"/>
      <c r="AT14" s="19" t="s">
        <v>44</v>
      </c>
      <c r="AU14" s="2">
        <v>62</v>
      </c>
      <c r="AV14" s="2">
        <v>48</v>
      </c>
      <c r="AW14" s="2">
        <v>531</v>
      </c>
      <c r="AX14" s="2">
        <v>435</v>
      </c>
      <c r="AY14" s="2">
        <v>447</v>
      </c>
      <c r="AZ14" s="2">
        <v>375</v>
      </c>
      <c r="BA14" s="2">
        <v>360</v>
      </c>
      <c r="BB14" s="2">
        <v>262</v>
      </c>
      <c r="BC14" s="2">
        <v>441</v>
      </c>
      <c r="BD14" s="2">
        <v>392</v>
      </c>
      <c r="BE14" s="2">
        <v>220</v>
      </c>
      <c r="BF14" s="2">
        <v>157</v>
      </c>
      <c r="BG14" s="2">
        <v>126</v>
      </c>
      <c r="BH14" s="2">
        <v>107</v>
      </c>
      <c r="BI14" s="2">
        <v>2187</v>
      </c>
      <c r="BJ14" s="2">
        <v>1776</v>
      </c>
      <c r="BK14" s="2"/>
      <c r="BM14" s="20" t="s">
        <v>50</v>
      </c>
      <c r="BN14" s="25">
        <f t="shared" si="9"/>
        <v>81</v>
      </c>
      <c r="BO14" s="25">
        <f t="shared" si="10"/>
        <v>24.285714285714285</v>
      </c>
      <c r="BP14" s="25">
        <f t="shared" si="11"/>
        <v>19.428571428571427</v>
      </c>
      <c r="BQ14" s="25">
        <f t="shared" si="12"/>
        <v>11.428571428571429</v>
      </c>
      <c r="BR14" s="25">
        <f t="shared" si="13"/>
        <v>4.2857142857142856</v>
      </c>
      <c r="BS14" s="25">
        <f t="shared" si="14"/>
        <v>5.2857142857142856</v>
      </c>
      <c r="BT14" s="25">
        <f t="shared" si="15"/>
        <v>6</v>
      </c>
      <c r="BU14" s="25">
        <f t="shared" si="16"/>
        <v>10.285714285714286</v>
      </c>
    </row>
    <row r="15" spans="1:73" x14ac:dyDescent="0.35">
      <c r="A15" s="28"/>
      <c r="B15" s="19">
        <v>10</v>
      </c>
      <c r="C15" s="2">
        <v>2219</v>
      </c>
      <c r="D15" s="2">
        <v>1671</v>
      </c>
      <c r="E15" s="28">
        <f t="shared" si="17"/>
        <v>0.75304191077061744</v>
      </c>
      <c r="F15" s="28"/>
      <c r="G15" s="28"/>
      <c r="H15" s="19" t="s">
        <v>45</v>
      </c>
      <c r="I15" s="2">
        <v>63</v>
      </c>
      <c r="J15" s="2">
        <v>37</v>
      </c>
      <c r="K15" s="2">
        <v>523</v>
      </c>
      <c r="L15" s="2">
        <v>424</v>
      </c>
      <c r="M15" s="2">
        <v>444</v>
      </c>
      <c r="N15" s="2">
        <v>376</v>
      </c>
      <c r="O15" s="2">
        <v>364</v>
      </c>
      <c r="P15" s="2">
        <v>257</v>
      </c>
      <c r="Q15" s="2">
        <v>425</v>
      </c>
      <c r="R15" s="2">
        <v>361</v>
      </c>
      <c r="S15" s="2">
        <v>223</v>
      </c>
      <c r="T15" s="2">
        <v>178</v>
      </c>
      <c r="U15" s="2">
        <v>126</v>
      </c>
      <c r="V15" s="2">
        <v>98</v>
      </c>
      <c r="W15" s="2">
        <v>2168</v>
      </c>
      <c r="X15" s="2">
        <v>1731</v>
      </c>
      <c r="Y15" s="2"/>
      <c r="Z15" s="28"/>
      <c r="AA15" s="20" t="s">
        <v>51</v>
      </c>
      <c r="AB15" s="28">
        <f t="shared" si="0"/>
        <v>0.75304191077061744</v>
      </c>
      <c r="AC15" s="28">
        <f t="shared" si="1"/>
        <v>0.71846435100548445</v>
      </c>
      <c r="AD15" s="28">
        <f t="shared" si="2"/>
        <v>0.76939203354297692</v>
      </c>
      <c r="AE15" s="28">
        <f t="shared" si="3"/>
        <v>0.76944444444444449</v>
      </c>
      <c r="AF15" s="28">
        <f t="shared" si="4"/>
        <v>0.76576576576576572</v>
      </c>
      <c r="AG15" s="28">
        <f t="shared" si="5"/>
        <v>0.60317460317460314</v>
      </c>
      <c r="AH15" s="28">
        <f t="shared" si="6"/>
        <v>0.49206349206349204</v>
      </c>
      <c r="AI15" s="28">
        <f t="shared" si="7"/>
        <v>0.84198113207547165</v>
      </c>
      <c r="AJ15" s="28"/>
      <c r="AK15" s="28"/>
      <c r="AM15" s="19">
        <v>10</v>
      </c>
      <c r="AN15" s="2">
        <v>2219</v>
      </c>
      <c r="AO15" s="2">
        <v>1671</v>
      </c>
      <c r="AP15" s="26">
        <f t="shared" si="8"/>
        <v>78.285714285714292</v>
      </c>
      <c r="AQ15" s="51"/>
      <c r="AR15" s="26"/>
      <c r="AT15" s="19" t="s">
        <v>45</v>
      </c>
      <c r="AU15" s="2">
        <v>63</v>
      </c>
      <c r="AV15" s="2">
        <v>37</v>
      </c>
      <c r="AW15" s="2">
        <v>523</v>
      </c>
      <c r="AX15" s="2">
        <v>424</v>
      </c>
      <c r="AY15" s="2">
        <v>444</v>
      </c>
      <c r="AZ15" s="2">
        <v>376</v>
      </c>
      <c r="BA15" s="2">
        <v>364</v>
      </c>
      <c r="BB15" s="2">
        <v>257</v>
      </c>
      <c r="BC15" s="2">
        <v>425</v>
      </c>
      <c r="BD15" s="2">
        <v>361</v>
      </c>
      <c r="BE15" s="2">
        <v>223</v>
      </c>
      <c r="BF15" s="2">
        <v>178</v>
      </c>
      <c r="BG15" s="2">
        <v>126</v>
      </c>
      <c r="BH15" s="2">
        <v>98</v>
      </c>
      <c r="BI15" s="2">
        <v>2168</v>
      </c>
      <c r="BJ15" s="2">
        <v>1731</v>
      </c>
      <c r="BK15" s="2"/>
      <c r="BM15" s="20" t="s">
        <v>51</v>
      </c>
      <c r="BN15" s="25">
        <f t="shared" si="9"/>
        <v>78.285714285714292</v>
      </c>
      <c r="BO15" s="25">
        <f t="shared" si="10"/>
        <v>22</v>
      </c>
      <c r="BP15" s="25">
        <f t="shared" si="11"/>
        <v>15.714285714285714</v>
      </c>
      <c r="BQ15" s="25">
        <f t="shared" si="12"/>
        <v>11.857142857142858</v>
      </c>
      <c r="BR15" s="25">
        <f t="shared" si="13"/>
        <v>7.4285714285714288</v>
      </c>
      <c r="BS15" s="25">
        <f t="shared" si="14"/>
        <v>7.1428571428571432</v>
      </c>
      <c r="BT15" s="25">
        <f t="shared" si="15"/>
        <v>4.5714285714285712</v>
      </c>
      <c r="BU15" s="25">
        <f t="shared" si="16"/>
        <v>9.5714285714285712</v>
      </c>
    </row>
    <row r="16" spans="1:73" x14ac:dyDescent="0.35">
      <c r="A16" s="28"/>
      <c r="B16" s="19">
        <v>11</v>
      </c>
      <c r="C16" s="2">
        <v>2244</v>
      </c>
      <c r="D16" s="2">
        <v>1610</v>
      </c>
      <c r="E16" s="28">
        <f t="shared" si="17"/>
        <v>0.71746880570409988</v>
      </c>
      <c r="F16" s="28"/>
      <c r="G16" s="28"/>
      <c r="H16" s="19" t="s">
        <v>46</v>
      </c>
      <c r="I16" s="2">
        <v>63</v>
      </c>
      <c r="J16" s="2">
        <v>28</v>
      </c>
      <c r="K16" s="2">
        <v>518</v>
      </c>
      <c r="L16" s="2">
        <v>329</v>
      </c>
      <c r="M16" s="2">
        <v>450</v>
      </c>
      <c r="N16" s="2">
        <v>370</v>
      </c>
      <c r="O16" s="2">
        <v>354</v>
      </c>
      <c r="P16" s="2">
        <v>263</v>
      </c>
      <c r="Q16" s="2">
        <v>431</v>
      </c>
      <c r="R16" s="2">
        <v>361</v>
      </c>
      <c r="S16" s="2">
        <v>218</v>
      </c>
      <c r="T16" s="2">
        <v>167</v>
      </c>
      <c r="U16" s="2">
        <v>126</v>
      </c>
      <c r="V16" s="2">
        <v>104</v>
      </c>
      <c r="W16" s="2">
        <v>2160</v>
      </c>
      <c r="X16" s="2">
        <v>1622</v>
      </c>
      <c r="Y16" s="2"/>
      <c r="Z16" s="28"/>
      <c r="AA16" s="20" t="s">
        <v>52</v>
      </c>
      <c r="AB16" s="28">
        <f t="shared" si="0"/>
        <v>0.71746880570409988</v>
      </c>
      <c r="AC16" s="28">
        <f t="shared" si="1"/>
        <v>0.70181818181818179</v>
      </c>
      <c r="AD16" s="28">
        <f t="shared" si="2"/>
        <v>0.7306889352818372</v>
      </c>
      <c r="AE16" s="28">
        <f t="shared" si="3"/>
        <v>0.72131147540983609</v>
      </c>
      <c r="AF16" s="28">
        <f t="shared" si="4"/>
        <v>0.69585253456221197</v>
      </c>
      <c r="AG16" s="28">
        <f t="shared" si="5"/>
        <v>0.75396825396825395</v>
      </c>
      <c r="AH16" s="28">
        <f t="shared" si="6"/>
        <v>0.22222222222222221</v>
      </c>
      <c r="AI16" s="28">
        <f t="shared" si="7"/>
        <v>0.79006772009029347</v>
      </c>
      <c r="AJ16" s="28"/>
      <c r="AK16" s="28"/>
      <c r="AM16" s="19">
        <v>11</v>
      </c>
      <c r="AN16" s="2">
        <v>2244</v>
      </c>
      <c r="AO16" s="2">
        <v>1610</v>
      </c>
      <c r="AP16" s="26">
        <f t="shared" si="8"/>
        <v>90.571428571428569</v>
      </c>
      <c r="AQ16" s="51"/>
      <c r="AR16" s="26"/>
      <c r="AT16" s="19" t="s">
        <v>46</v>
      </c>
      <c r="AU16" s="2">
        <v>63</v>
      </c>
      <c r="AV16" s="2">
        <v>28</v>
      </c>
      <c r="AW16" s="2">
        <v>518</v>
      </c>
      <c r="AX16" s="2">
        <v>329</v>
      </c>
      <c r="AY16" s="2">
        <v>450</v>
      </c>
      <c r="AZ16" s="2">
        <v>370</v>
      </c>
      <c r="BA16" s="2">
        <v>354</v>
      </c>
      <c r="BB16" s="2">
        <v>263</v>
      </c>
      <c r="BC16" s="2">
        <v>431</v>
      </c>
      <c r="BD16" s="2">
        <v>361</v>
      </c>
      <c r="BE16" s="2">
        <v>218</v>
      </c>
      <c r="BF16" s="2">
        <v>167</v>
      </c>
      <c r="BG16" s="2">
        <v>126</v>
      </c>
      <c r="BH16" s="2">
        <v>104</v>
      </c>
      <c r="BI16" s="2">
        <v>2160</v>
      </c>
      <c r="BJ16" s="2">
        <v>1622</v>
      </c>
      <c r="BK16" s="2"/>
      <c r="BM16" s="20" t="s">
        <v>52</v>
      </c>
      <c r="BN16" s="25">
        <f t="shared" si="9"/>
        <v>90.571428571428569</v>
      </c>
      <c r="BO16" s="25">
        <f t="shared" si="10"/>
        <v>23.428571428571427</v>
      </c>
      <c r="BP16" s="25">
        <f t="shared" si="11"/>
        <v>18.428571428571427</v>
      </c>
      <c r="BQ16" s="25">
        <f t="shared" si="12"/>
        <v>14.571428571428571</v>
      </c>
      <c r="BR16" s="25">
        <f t="shared" si="13"/>
        <v>9.4285714285714288</v>
      </c>
      <c r="BS16" s="25">
        <f t="shared" si="14"/>
        <v>4.4285714285714288</v>
      </c>
      <c r="BT16" s="25">
        <f t="shared" si="15"/>
        <v>7</v>
      </c>
      <c r="BU16" s="25">
        <f t="shared" si="16"/>
        <v>13.285714285714286</v>
      </c>
    </row>
    <row r="17" spans="1:73" x14ac:dyDescent="0.35">
      <c r="A17" s="28"/>
      <c r="B17" s="19">
        <v>12</v>
      </c>
      <c r="C17" s="2">
        <v>2230</v>
      </c>
      <c r="D17" s="2">
        <v>1533</v>
      </c>
      <c r="E17" s="28">
        <f t="shared" si="17"/>
        <v>0.68744394618834082</v>
      </c>
      <c r="F17" s="28"/>
      <c r="G17" s="28"/>
      <c r="H17" s="19" t="s">
        <v>47</v>
      </c>
      <c r="I17" s="2">
        <v>63</v>
      </c>
      <c r="J17" s="2">
        <v>23</v>
      </c>
      <c r="K17" s="2">
        <v>518</v>
      </c>
      <c r="L17" s="2">
        <v>320</v>
      </c>
      <c r="M17" s="2">
        <v>484</v>
      </c>
      <c r="N17" s="2">
        <v>365</v>
      </c>
      <c r="O17" s="2">
        <v>347</v>
      </c>
      <c r="P17" s="2">
        <v>269</v>
      </c>
      <c r="Q17" s="2">
        <v>427</v>
      </c>
      <c r="R17" s="2">
        <v>368</v>
      </c>
      <c r="S17" s="2">
        <v>223</v>
      </c>
      <c r="T17" s="2">
        <v>171</v>
      </c>
      <c r="U17" s="2">
        <v>126</v>
      </c>
      <c r="V17" s="2">
        <v>95</v>
      </c>
      <c r="W17" s="2">
        <v>2188</v>
      </c>
      <c r="X17" s="2">
        <v>1611</v>
      </c>
      <c r="Y17" s="2"/>
      <c r="Z17" s="28"/>
      <c r="AA17" s="20" t="s">
        <v>53</v>
      </c>
      <c r="AB17" s="28">
        <f t="shared" si="0"/>
        <v>0.68744394618834082</v>
      </c>
      <c r="AC17" s="28">
        <f t="shared" si="1"/>
        <v>0.62206148282097651</v>
      </c>
      <c r="AD17" s="28">
        <f t="shared" si="2"/>
        <v>0.73773987206823033</v>
      </c>
      <c r="AE17" s="28">
        <f t="shared" si="3"/>
        <v>0.67329545454545459</v>
      </c>
      <c r="AF17" s="28">
        <f t="shared" si="4"/>
        <v>0.75799086757990863</v>
      </c>
      <c r="AG17" s="28">
        <f t="shared" si="5"/>
        <v>0.6428571428571429</v>
      </c>
      <c r="AH17" s="28">
        <f t="shared" si="6"/>
        <v>0.26984126984126983</v>
      </c>
      <c r="AI17" s="28">
        <f t="shared" si="7"/>
        <v>0.7633928571428571</v>
      </c>
      <c r="AJ17" s="28"/>
      <c r="AK17" s="28"/>
      <c r="AM17" s="19">
        <v>12</v>
      </c>
      <c r="AN17" s="2">
        <v>2230</v>
      </c>
      <c r="AO17" s="2">
        <v>1533</v>
      </c>
      <c r="AP17" s="26">
        <f t="shared" si="8"/>
        <v>99.571428571428569</v>
      </c>
      <c r="AQ17" s="51"/>
      <c r="AR17" s="26"/>
      <c r="AT17" s="19" t="s">
        <v>47</v>
      </c>
      <c r="AU17" s="2">
        <v>63</v>
      </c>
      <c r="AV17" s="2">
        <v>23</v>
      </c>
      <c r="AW17" s="2">
        <v>518</v>
      </c>
      <c r="AX17" s="2">
        <v>320</v>
      </c>
      <c r="AY17" s="2">
        <v>484</v>
      </c>
      <c r="AZ17" s="2">
        <v>365</v>
      </c>
      <c r="BA17" s="2">
        <v>347</v>
      </c>
      <c r="BB17" s="2">
        <v>269</v>
      </c>
      <c r="BC17" s="2">
        <v>427</v>
      </c>
      <c r="BD17" s="2">
        <v>368</v>
      </c>
      <c r="BE17" s="2">
        <v>223</v>
      </c>
      <c r="BF17" s="2">
        <v>171</v>
      </c>
      <c r="BG17" s="2">
        <v>126</v>
      </c>
      <c r="BH17" s="2">
        <v>95</v>
      </c>
      <c r="BI17" s="2">
        <v>2188</v>
      </c>
      <c r="BJ17" s="2">
        <v>1611</v>
      </c>
      <c r="BK17" s="2"/>
      <c r="BM17" s="20" t="s">
        <v>53</v>
      </c>
      <c r="BN17" s="25">
        <f t="shared" si="9"/>
        <v>99.571428571428569</v>
      </c>
      <c r="BO17" s="25">
        <f t="shared" si="10"/>
        <v>29.857142857142858</v>
      </c>
      <c r="BP17" s="25">
        <f t="shared" si="11"/>
        <v>17.571428571428573</v>
      </c>
      <c r="BQ17" s="25">
        <f t="shared" si="12"/>
        <v>16.428571428571427</v>
      </c>
      <c r="BR17" s="25">
        <f t="shared" si="13"/>
        <v>7.5714285714285712</v>
      </c>
      <c r="BS17" s="25">
        <f t="shared" si="14"/>
        <v>6.4285714285714288</v>
      </c>
      <c r="BT17" s="25">
        <f t="shared" si="15"/>
        <v>6.5714285714285712</v>
      </c>
      <c r="BU17" s="25">
        <f t="shared" si="16"/>
        <v>15.142857142857142</v>
      </c>
    </row>
    <row r="18" spans="1:73" x14ac:dyDescent="0.35">
      <c r="A18" s="28"/>
      <c r="B18" s="19">
        <v>13</v>
      </c>
      <c r="C18" s="2">
        <v>2213</v>
      </c>
      <c r="D18" s="2">
        <v>1573</v>
      </c>
      <c r="E18" s="28">
        <f t="shared" si="17"/>
        <v>0.710799819249887</v>
      </c>
      <c r="F18" s="28"/>
      <c r="G18" s="28"/>
      <c r="H18" s="19" t="s">
        <v>48</v>
      </c>
      <c r="I18" s="2">
        <v>63</v>
      </c>
      <c r="J18" s="2">
        <v>21</v>
      </c>
      <c r="K18" s="2">
        <v>518</v>
      </c>
      <c r="L18" s="2">
        <v>343</v>
      </c>
      <c r="M18" s="2">
        <v>486</v>
      </c>
      <c r="N18" s="2">
        <v>374</v>
      </c>
      <c r="O18" s="2">
        <v>357</v>
      </c>
      <c r="P18" s="2">
        <v>279</v>
      </c>
      <c r="Q18" s="2">
        <v>422</v>
      </c>
      <c r="R18" s="2">
        <v>351</v>
      </c>
      <c r="S18" s="2">
        <v>224</v>
      </c>
      <c r="T18" s="2">
        <v>177</v>
      </c>
      <c r="U18" s="2">
        <v>126</v>
      </c>
      <c r="V18" s="2">
        <v>91</v>
      </c>
      <c r="W18" s="2">
        <v>2196</v>
      </c>
      <c r="X18" s="2">
        <v>1636</v>
      </c>
      <c r="Y18" s="2"/>
      <c r="Z18" s="28"/>
      <c r="AA18" s="20" t="s">
        <v>54</v>
      </c>
      <c r="AB18" s="28">
        <f t="shared" si="0"/>
        <v>0.710799819249887</v>
      </c>
      <c r="AC18" s="28">
        <f t="shared" si="1"/>
        <v>0.62567811934900541</v>
      </c>
      <c r="AD18" s="28">
        <f t="shared" si="2"/>
        <v>0.76532769556025371</v>
      </c>
      <c r="AE18" s="28">
        <f t="shared" si="3"/>
        <v>0.70621468926553677</v>
      </c>
      <c r="AF18" s="28">
        <f t="shared" si="4"/>
        <v>0.70046082949308752</v>
      </c>
      <c r="AG18" s="28">
        <f t="shared" si="5"/>
        <v>0.7142857142857143</v>
      </c>
      <c r="AH18" s="28">
        <f t="shared" si="6"/>
        <v>0.23809523809523808</v>
      </c>
      <c r="AI18" s="28">
        <f>VLOOKUP($AA18,$H$8:$X$1048576,11,FALSE)/VLOOKUP($AA18,$H$8:$X$1048576,10,FALSE)</f>
        <v>0.83840749414519911</v>
      </c>
      <c r="AJ18" s="28"/>
      <c r="AK18" s="28"/>
      <c r="AM18" s="19">
        <v>13</v>
      </c>
      <c r="AN18" s="2">
        <v>2213</v>
      </c>
      <c r="AO18" s="2">
        <v>1573</v>
      </c>
      <c r="AP18" s="26">
        <f t="shared" si="8"/>
        <v>91.428571428571431</v>
      </c>
      <c r="AQ18" s="51"/>
      <c r="AR18" s="26"/>
      <c r="AT18" s="19" t="s">
        <v>48</v>
      </c>
      <c r="AU18" s="2">
        <v>63</v>
      </c>
      <c r="AV18" s="2">
        <v>21</v>
      </c>
      <c r="AW18" s="2">
        <v>518</v>
      </c>
      <c r="AX18" s="2">
        <v>343</v>
      </c>
      <c r="AY18" s="2">
        <v>486</v>
      </c>
      <c r="AZ18" s="2">
        <v>374</v>
      </c>
      <c r="BA18" s="2">
        <v>357</v>
      </c>
      <c r="BB18" s="2">
        <v>279</v>
      </c>
      <c r="BC18" s="2">
        <v>422</v>
      </c>
      <c r="BD18" s="2">
        <v>351</v>
      </c>
      <c r="BE18" s="2">
        <v>224</v>
      </c>
      <c r="BF18" s="2">
        <v>177</v>
      </c>
      <c r="BG18" s="2">
        <v>126</v>
      </c>
      <c r="BH18" s="2">
        <v>91</v>
      </c>
      <c r="BI18" s="2">
        <v>2196</v>
      </c>
      <c r="BJ18" s="2">
        <v>1636</v>
      </c>
      <c r="BK18" s="2"/>
      <c r="BM18" s="20" t="s">
        <v>54</v>
      </c>
      <c r="BN18" s="25">
        <f t="shared" si="9"/>
        <v>91.428571428571431</v>
      </c>
      <c r="BO18" s="25">
        <f t="shared" si="10"/>
        <v>29.571428571428573</v>
      </c>
      <c r="BP18" s="25">
        <f t="shared" si="11"/>
        <v>15.857142857142858</v>
      </c>
      <c r="BQ18" s="25">
        <f t="shared" si="12"/>
        <v>14.857142857142858</v>
      </c>
      <c r="BR18" s="25">
        <f t="shared" si="13"/>
        <v>9.2857142857142865</v>
      </c>
      <c r="BS18" s="25">
        <f t="shared" si="14"/>
        <v>5.1428571428571432</v>
      </c>
      <c r="BT18" s="25">
        <f t="shared" si="15"/>
        <v>6.8571428571428568</v>
      </c>
      <c r="BU18" s="25">
        <f t="shared" si="16"/>
        <v>9.8571428571428577</v>
      </c>
    </row>
    <row r="19" spans="1:73" x14ac:dyDescent="0.35">
      <c r="A19" s="28"/>
      <c r="B19"/>
      <c r="C19"/>
      <c r="D19"/>
      <c r="E19" s="28" t="e">
        <f t="shared" si="17"/>
        <v>#DIV/0!</v>
      </c>
      <c r="F19" s="28"/>
      <c r="G19" s="28"/>
      <c r="H19" s="19" t="s">
        <v>49</v>
      </c>
      <c r="I19" s="2">
        <v>63</v>
      </c>
      <c r="J19" s="2">
        <v>27</v>
      </c>
      <c r="K19" s="2">
        <v>521</v>
      </c>
      <c r="L19" s="2">
        <v>349</v>
      </c>
      <c r="M19" s="2">
        <v>484</v>
      </c>
      <c r="N19" s="2">
        <v>361</v>
      </c>
      <c r="O19" s="2">
        <v>351</v>
      </c>
      <c r="P19" s="2">
        <v>279</v>
      </c>
      <c r="Q19" s="2">
        <v>422</v>
      </c>
      <c r="R19" s="2">
        <v>362</v>
      </c>
      <c r="S19" s="2">
        <v>220</v>
      </c>
      <c r="T19" s="2">
        <v>172</v>
      </c>
      <c r="U19" s="2">
        <v>126</v>
      </c>
      <c r="V19" s="2">
        <v>96</v>
      </c>
      <c r="W19" s="2">
        <v>2187</v>
      </c>
      <c r="X19" s="2">
        <v>1646</v>
      </c>
      <c r="Y19" s="2"/>
      <c r="Z19" s="28"/>
      <c r="AA19" s="20"/>
      <c r="AB19" s="28"/>
      <c r="AC19" s="28"/>
      <c r="AD19" s="28"/>
      <c r="AE19" s="28"/>
      <c r="AF19" s="28"/>
      <c r="AG19" s="28"/>
      <c r="AH19" s="28"/>
      <c r="AI19" s="28"/>
      <c r="AJ19" s="28"/>
      <c r="AK19" s="28"/>
      <c r="AP19" s="26">
        <f t="shared" si="8"/>
        <v>0</v>
      </c>
      <c r="AQ19" s="51"/>
      <c r="AR19" s="26"/>
      <c r="AT19" s="19" t="s">
        <v>49</v>
      </c>
      <c r="AU19" s="2">
        <v>63</v>
      </c>
      <c r="AV19" s="2">
        <v>27</v>
      </c>
      <c r="AW19" s="2">
        <v>521</v>
      </c>
      <c r="AX19" s="2">
        <v>349</v>
      </c>
      <c r="AY19" s="2">
        <v>484</v>
      </c>
      <c r="AZ19" s="2">
        <v>361</v>
      </c>
      <c r="BA19" s="2">
        <v>351</v>
      </c>
      <c r="BB19" s="2">
        <v>279</v>
      </c>
      <c r="BC19" s="2">
        <v>422</v>
      </c>
      <c r="BD19" s="2">
        <v>362</v>
      </c>
      <c r="BE19" s="2">
        <v>220</v>
      </c>
      <c r="BF19" s="2">
        <v>172</v>
      </c>
      <c r="BG19" s="2">
        <v>126</v>
      </c>
      <c r="BH19" s="2">
        <v>96</v>
      </c>
      <c r="BI19" s="2">
        <v>2187</v>
      </c>
      <c r="BJ19" s="2">
        <v>1646</v>
      </c>
      <c r="BK19" s="2"/>
      <c r="BM19" s="20"/>
      <c r="BN19" s="25"/>
      <c r="BO19" s="25"/>
      <c r="BP19" s="25"/>
      <c r="BQ19" s="25"/>
      <c r="BR19" s="25"/>
      <c r="BS19" s="25"/>
      <c r="BT19" s="26"/>
    </row>
    <row r="20" spans="1:73" x14ac:dyDescent="0.35">
      <c r="A20" s="28"/>
      <c r="B20"/>
      <c r="C20"/>
      <c r="D20"/>
      <c r="E20" s="28" t="e">
        <f t="shared" si="17"/>
        <v>#DIV/0!</v>
      </c>
      <c r="F20" s="28"/>
      <c r="H20" s="19" t="s">
        <v>50</v>
      </c>
      <c r="I20" s="2">
        <v>63</v>
      </c>
      <c r="J20" s="2">
        <v>21</v>
      </c>
      <c r="K20" s="2">
        <v>552</v>
      </c>
      <c r="L20" s="2">
        <v>382</v>
      </c>
      <c r="M20" s="2">
        <v>470</v>
      </c>
      <c r="N20" s="2">
        <v>334</v>
      </c>
      <c r="O20" s="2">
        <v>358</v>
      </c>
      <c r="P20" s="2">
        <v>278</v>
      </c>
      <c r="Q20" s="2">
        <v>421</v>
      </c>
      <c r="R20" s="2">
        <v>349</v>
      </c>
      <c r="S20" s="2">
        <v>217</v>
      </c>
      <c r="T20" s="2">
        <v>187</v>
      </c>
      <c r="U20" s="2">
        <v>126</v>
      </c>
      <c r="V20" s="2">
        <v>89</v>
      </c>
      <c r="W20" s="2">
        <v>2207</v>
      </c>
      <c r="X20" s="2">
        <v>1640</v>
      </c>
      <c r="Y20" s="2"/>
      <c r="AP20" s="26">
        <f t="shared" si="8"/>
        <v>0</v>
      </c>
      <c r="AQ20" s="51"/>
      <c r="AR20" s="26"/>
      <c r="AT20" s="19" t="s">
        <v>50</v>
      </c>
      <c r="AU20" s="2">
        <v>63</v>
      </c>
      <c r="AV20" s="2">
        <v>21</v>
      </c>
      <c r="AW20" s="2">
        <v>552</v>
      </c>
      <c r="AX20" s="2">
        <v>382</v>
      </c>
      <c r="AY20" s="2">
        <v>470</v>
      </c>
      <c r="AZ20" s="2">
        <v>334</v>
      </c>
      <c r="BA20" s="2">
        <v>358</v>
      </c>
      <c r="BB20" s="2">
        <v>278</v>
      </c>
      <c r="BC20" s="2">
        <v>421</v>
      </c>
      <c r="BD20" s="2">
        <v>349</v>
      </c>
      <c r="BE20" s="2">
        <v>217</v>
      </c>
      <c r="BF20" s="2">
        <v>187</v>
      </c>
      <c r="BG20" s="2">
        <v>126</v>
      </c>
      <c r="BH20" s="2">
        <v>89</v>
      </c>
      <c r="BI20" s="2">
        <v>2207</v>
      </c>
      <c r="BJ20" s="2">
        <v>1640</v>
      </c>
      <c r="BK20" s="2"/>
    </row>
    <row r="21" spans="1:73" x14ac:dyDescent="0.35">
      <c r="H21" s="19" t="s">
        <v>38</v>
      </c>
      <c r="I21" s="2">
        <v>818</v>
      </c>
      <c r="J21" s="2">
        <v>346</v>
      </c>
      <c r="K21" s="2">
        <v>6946</v>
      </c>
      <c r="L21" s="2">
        <v>4920</v>
      </c>
      <c r="M21" s="2">
        <v>6058</v>
      </c>
      <c r="N21" s="2">
        <v>4757</v>
      </c>
      <c r="O21" s="2">
        <v>4661</v>
      </c>
      <c r="P21" s="2">
        <v>3449</v>
      </c>
      <c r="Q21" s="2">
        <v>5613</v>
      </c>
      <c r="R21" s="2">
        <v>4769</v>
      </c>
      <c r="S21" s="2">
        <v>2864</v>
      </c>
      <c r="T21" s="2">
        <v>2178</v>
      </c>
      <c r="U21" s="2">
        <v>1638</v>
      </c>
      <c r="V21" s="2">
        <v>1238</v>
      </c>
      <c r="W21" s="2">
        <v>28598</v>
      </c>
      <c r="X21" s="2">
        <v>21657</v>
      </c>
      <c r="Y21" s="2"/>
      <c r="AT21" s="19" t="s">
        <v>38</v>
      </c>
      <c r="AU21" s="2">
        <v>818</v>
      </c>
      <c r="AV21" s="2">
        <v>346</v>
      </c>
      <c r="AW21" s="2">
        <v>6946</v>
      </c>
      <c r="AX21" s="2">
        <v>4920</v>
      </c>
      <c r="AY21" s="2">
        <v>6058</v>
      </c>
      <c r="AZ21" s="2">
        <v>4757</v>
      </c>
      <c r="BA21" s="2">
        <v>4661</v>
      </c>
      <c r="BB21" s="2">
        <v>3449</v>
      </c>
      <c r="BC21" s="2">
        <v>5613</v>
      </c>
      <c r="BD21" s="2">
        <v>4769</v>
      </c>
      <c r="BE21" s="2">
        <v>2864</v>
      </c>
      <c r="BF21" s="2">
        <v>2178</v>
      </c>
      <c r="BG21" s="2">
        <v>1638</v>
      </c>
      <c r="BH21" s="2">
        <v>1238</v>
      </c>
      <c r="BI21" s="2">
        <v>28598</v>
      </c>
      <c r="BJ21" s="2">
        <v>21657</v>
      </c>
      <c r="BK21" s="2"/>
    </row>
  </sheetData>
  <mergeCells count="3">
    <mergeCell ref="AT1:BO1"/>
    <mergeCell ref="H1:AH1"/>
    <mergeCell ref="AM1:AP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21"/>
  <sheetViews>
    <sheetView zoomScale="40" zoomScaleNormal="40" workbookViewId="0">
      <selection activeCell="B3" sqref="B3"/>
    </sheetView>
  </sheetViews>
  <sheetFormatPr defaultRowHeight="14.5" x14ac:dyDescent="0.35"/>
  <cols>
    <col min="2" max="2" width="21.6328125" bestFit="1" customWidth="1"/>
    <col min="3" max="3" width="34.6328125" bestFit="1" customWidth="1"/>
    <col min="4" max="4" width="32.1796875" bestFit="1" customWidth="1"/>
    <col min="8" max="8" width="21.6328125" bestFit="1" customWidth="1"/>
    <col min="9" max="9" width="34.6328125" bestFit="1" customWidth="1"/>
    <col min="10" max="10" width="32.1796875" bestFit="1" customWidth="1"/>
    <col min="11" max="11" width="34.6328125" bestFit="1" customWidth="1"/>
    <col min="12" max="12" width="32.1796875" bestFit="1" customWidth="1"/>
    <col min="13" max="13" width="34.6328125" bestFit="1" customWidth="1"/>
    <col min="14" max="14" width="32.1796875" bestFit="1" customWidth="1"/>
    <col min="15" max="15" width="34.6328125" bestFit="1" customWidth="1"/>
    <col min="16" max="16" width="32.1796875" bestFit="1" customWidth="1"/>
    <col min="17" max="17" width="34.6328125" bestFit="1" customWidth="1"/>
    <col min="18" max="18" width="32.1796875" bestFit="1" customWidth="1"/>
    <col min="19" max="19" width="34.6328125" bestFit="1" customWidth="1"/>
    <col min="20" max="20" width="32.1796875" bestFit="1" customWidth="1"/>
    <col min="21" max="21" width="34.6328125" bestFit="1" customWidth="1"/>
    <col min="22" max="22" width="32.1796875" bestFit="1" customWidth="1"/>
    <col min="23" max="23" width="42.36328125" bestFit="1" customWidth="1"/>
    <col min="24" max="24" width="39.6328125" bestFit="1" customWidth="1"/>
    <col min="25" max="25" width="27.26953125" customWidth="1"/>
    <col min="39" max="39" width="21.6328125" bestFit="1" customWidth="1"/>
    <col min="40" max="40" width="34.6328125" bestFit="1" customWidth="1"/>
    <col min="41" max="41" width="32.1796875" bestFit="1" customWidth="1"/>
    <col min="45" max="45" width="21.6328125" bestFit="1" customWidth="1"/>
    <col min="46" max="46" width="34.6328125" bestFit="1" customWidth="1"/>
    <col min="47" max="47" width="32.1796875" bestFit="1" customWidth="1"/>
    <col min="48" max="48" width="34.6328125" bestFit="1" customWidth="1"/>
    <col min="49" max="49" width="32.1796875" bestFit="1" customWidth="1"/>
    <col min="50" max="50" width="34.6328125" bestFit="1" customWidth="1"/>
    <col min="51" max="51" width="32.1796875" bestFit="1" customWidth="1"/>
    <col min="52" max="52" width="34.6328125" bestFit="1" customWidth="1"/>
    <col min="53" max="53" width="32.1796875" bestFit="1" customWidth="1"/>
    <col min="54" max="54" width="34.6328125" bestFit="1" customWidth="1"/>
    <col min="55" max="55" width="32.1796875" bestFit="1" customWidth="1"/>
    <col min="56" max="56" width="34.6328125" bestFit="1" customWidth="1"/>
    <col min="57" max="57" width="32.1796875" bestFit="1" customWidth="1"/>
    <col min="58" max="58" width="34.6328125" bestFit="1" customWidth="1"/>
    <col min="59" max="59" width="32.1796875" bestFit="1" customWidth="1"/>
    <col min="60" max="60" width="42.36328125" bestFit="1" customWidth="1"/>
    <col min="61" max="61" width="39.6328125" bestFit="1" customWidth="1"/>
    <col min="62" max="62" width="27.26953125" customWidth="1"/>
  </cols>
  <sheetData>
    <row r="1" spans="1:72" s="17" customFormat="1" x14ac:dyDescent="0.35">
      <c r="A1" s="37"/>
      <c r="B1" s="43" t="s">
        <v>315</v>
      </c>
      <c r="C1" s="46"/>
      <c r="D1" s="46"/>
      <c r="E1" s="46"/>
      <c r="G1" s="37"/>
      <c r="H1" s="192" t="s">
        <v>316</v>
      </c>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15"/>
      <c r="AJ1" s="115"/>
      <c r="AK1" s="37"/>
      <c r="AL1" s="37"/>
      <c r="AM1" s="56" t="s">
        <v>317</v>
      </c>
      <c r="AN1" s="46"/>
      <c r="AO1" s="46"/>
      <c r="AP1" s="46"/>
      <c r="AQ1" s="37"/>
      <c r="AS1" s="191" t="s">
        <v>264</v>
      </c>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row>
    <row r="3" spans="1:72" x14ac:dyDescent="0.35">
      <c r="B3" s="18" t="s">
        <v>39</v>
      </c>
      <c r="C3" t="s" vm="1">
        <v>334</v>
      </c>
      <c r="H3" s="18" t="s">
        <v>39</v>
      </c>
      <c r="I3" t="s" vm="1">
        <v>334</v>
      </c>
      <c r="AM3" s="18" t="s">
        <v>39</v>
      </c>
      <c r="AN3" t="s" vm="1">
        <v>334</v>
      </c>
      <c r="AS3" s="18" t="s">
        <v>39</v>
      </c>
      <c r="AT3" t="s" vm="1">
        <v>334</v>
      </c>
    </row>
    <row r="5" spans="1:72" x14ac:dyDescent="0.35">
      <c r="B5" s="18" t="s">
        <v>37</v>
      </c>
      <c r="C5" t="s">
        <v>184</v>
      </c>
      <c r="D5" t="s">
        <v>185</v>
      </c>
      <c r="I5" s="18" t="s">
        <v>41</v>
      </c>
      <c r="AB5" t="s">
        <v>40</v>
      </c>
      <c r="AC5" t="s">
        <v>1</v>
      </c>
      <c r="AD5" t="s">
        <v>220</v>
      </c>
      <c r="AE5" t="s">
        <v>249</v>
      </c>
      <c r="AF5" t="s">
        <v>217</v>
      </c>
      <c r="AG5" t="s">
        <v>218</v>
      </c>
      <c r="AH5" t="s">
        <v>252</v>
      </c>
      <c r="AI5" t="s">
        <v>251</v>
      </c>
      <c r="AM5" s="18" t="s">
        <v>37</v>
      </c>
      <c r="AN5" t="s">
        <v>184</v>
      </c>
      <c r="AO5" t="s">
        <v>185</v>
      </c>
      <c r="AT5" s="18" t="s">
        <v>41</v>
      </c>
      <c r="BM5" t="s">
        <v>40</v>
      </c>
      <c r="BN5" t="s">
        <v>1</v>
      </c>
      <c r="BO5" t="s">
        <v>220</v>
      </c>
      <c r="BP5" t="s">
        <v>249</v>
      </c>
      <c r="BQ5" t="s">
        <v>217</v>
      </c>
      <c r="BR5" t="s">
        <v>218</v>
      </c>
      <c r="BS5" t="s">
        <v>252</v>
      </c>
      <c r="BT5" t="s">
        <v>251</v>
      </c>
    </row>
    <row r="6" spans="1:72" x14ac:dyDescent="0.35">
      <c r="A6" s="3"/>
      <c r="B6" s="19">
        <v>1</v>
      </c>
      <c r="C6" s="2">
        <v>11466</v>
      </c>
      <c r="D6" s="2">
        <v>7950</v>
      </c>
      <c r="E6" s="3">
        <f>D6/C6</f>
        <v>0.69335426478283624</v>
      </c>
      <c r="G6" s="28"/>
      <c r="I6" t="s">
        <v>282</v>
      </c>
      <c r="K6" t="s">
        <v>1</v>
      </c>
      <c r="M6" t="s">
        <v>220</v>
      </c>
      <c r="O6" t="s">
        <v>253</v>
      </c>
      <c r="Q6" t="s">
        <v>250</v>
      </c>
      <c r="S6" t="s">
        <v>217</v>
      </c>
      <c r="U6" t="s">
        <v>218</v>
      </c>
      <c r="W6" t="s">
        <v>186</v>
      </c>
      <c r="X6" t="s">
        <v>187</v>
      </c>
      <c r="Z6" s="28"/>
      <c r="AA6" s="48" t="s">
        <v>42</v>
      </c>
      <c r="AB6" s="28">
        <f>VLOOKUP($AA6,$H$8:$X$1048576,17,FALSE)/VLOOKUP($AA6,$H$8:$X$1048576,16,FALSE)</f>
        <v>0.69335426478283624</v>
      </c>
      <c r="AC6" s="28">
        <f>VLOOKUP($AA6,$H$8:$X$1048576,5,FALSE)/VLOOKUP($AA6,$H$8:$X$1048576,4,FALSE)</f>
        <v>0.73447772096420749</v>
      </c>
      <c r="AD6" s="28">
        <f>VLOOKUP($AA6,$H$8:$X$1048576, 7,FALSE)/VLOOKUP($AA6,$H$8:$X$1048576,6,FALSE)</f>
        <v>0.66465256797583083</v>
      </c>
      <c r="AE6" s="28">
        <f>VLOOKUP($AA6,$H$8:$X$1048576,9,FALSE)/VLOOKUP($AA6,$H$8:$X$1048576,8,FALSE)</f>
        <v>0.74018126888217528</v>
      </c>
      <c r="AF6" s="28">
        <f>VLOOKUP($AA6,$H$8:$X$1048576,13,FALSE)/VLOOKUP($AA6,$H$8:$X$1048576,12,FALSE)</f>
        <v>0.64765669113495206</v>
      </c>
      <c r="AG6" s="28">
        <f>VLOOKUP($AA6,$H$8:$X$1048576,15,FALSE)/VLOOKUP($AA6,$H$8:$X$1048576,14,FALSE)</f>
        <v>0.73005565862708721</v>
      </c>
      <c r="AH6" s="28">
        <f>VLOOKUP($AA6,$H$8:$X$1048576,3,FALSE)/VLOOKUP($AA6,$H$8:$X$1048576,2,FALSE)</f>
        <v>0.60625501202886933</v>
      </c>
      <c r="AI6" s="28">
        <f>VLOOKUP($AA6,$H$8:$X$1048576,11,FALSE)/VLOOKUP($AA6,$H$8:$X$1048576,10,FALSE)</f>
        <v>0.71785173978819972</v>
      </c>
      <c r="AJ6" s="28"/>
      <c r="AK6" s="28"/>
      <c r="AL6" s="20"/>
      <c r="AM6" s="19">
        <v>1</v>
      </c>
      <c r="AN6" s="2">
        <v>11466</v>
      </c>
      <c r="AO6" s="2">
        <v>7950</v>
      </c>
      <c r="AP6" s="20">
        <f>(AN6-AO6)/4</f>
        <v>879</v>
      </c>
      <c r="AQ6" s="20"/>
      <c r="AT6" t="s">
        <v>282</v>
      </c>
      <c r="AV6" t="s">
        <v>1</v>
      </c>
      <c r="AX6" t="s">
        <v>220</v>
      </c>
      <c r="AZ6" t="s">
        <v>253</v>
      </c>
      <c r="BB6" t="s">
        <v>250</v>
      </c>
      <c r="BD6" t="s">
        <v>217</v>
      </c>
      <c r="BF6" t="s">
        <v>218</v>
      </c>
      <c r="BH6" t="s">
        <v>186</v>
      </c>
      <c r="BI6" t="s">
        <v>187</v>
      </c>
      <c r="BL6" s="48" t="s">
        <v>42</v>
      </c>
      <c r="BM6" s="25">
        <f>(VLOOKUP($BL6,$AS$8:$BI$1048576,16,FALSE)-VLOOKUP($BL6,$AS$8:$BI$1048576,17,FALSE))/7</f>
        <v>502.28571428571428</v>
      </c>
      <c r="BN6" s="25">
        <f>(VLOOKUP($BL6,$AS$8:$BI$1048576,4,FALSE)-VLOOKUP($BL6,$AS$8:$BI$1048576,5,FALSE))/7</f>
        <v>103.85714285714286</v>
      </c>
      <c r="BO6" s="25">
        <f>(VLOOKUP($BL6,$AS$8:$BI$1048576,6,FALSE)-VLOOKUP($BL6,$AS$8:$BI$1048576,7,FALSE))/7</f>
        <v>95.142857142857139</v>
      </c>
      <c r="BP6" s="25">
        <f>(VLOOKUP($BL6,$AS$8:$BI$1048576,8,FALSE)-VLOOKUP($BL6,$AS$8:$BI$1048576,9,FALSE))/7</f>
        <v>49.142857142857146</v>
      </c>
      <c r="BQ6" s="25">
        <f>(VLOOKUP($BL6,$AS$8:$BI$1048576,12,FALSE)-VLOOKUP($BL6,$AS$8:$BI$1048576,13,FALSE))/7</f>
        <v>89.142857142857139</v>
      </c>
      <c r="BR6" s="25">
        <f>(VLOOKUP($BL6,$AS$8:$BI$1048576,14,FALSE)-VLOOKUP($BL6,$AS$8:$BI$1048576,15,FALSE))/7</f>
        <v>41.571428571428569</v>
      </c>
      <c r="BS6" s="25">
        <f>(VLOOKUP($BL6,$AS$8:$BI$1048576,2,FALSE)-VLOOKUP($BL6,$AS$8:$BI$1048576,3,FALSE))/7</f>
        <v>70.142857142857139</v>
      </c>
      <c r="BT6" s="25">
        <f t="shared" ref="BT6:BT18" si="0">(VLOOKUP($BL6,$AS$8:$BI$1048576,10,FALSE)-VLOOKUP($BL6,$AS$8:$BI$1048576,11,FALSE))/7</f>
        <v>53.285714285714285</v>
      </c>
    </row>
    <row r="7" spans="1:72" x14ac:dyDescent="0.35">
      <c r="A7" s="3"/>
      <c r="B7" s="19">
        <v>2</v>
      </c>
      <c r="C7" s="2">
        <v>11462</v>
      </c>
      <c r="D7" s="2">
        <v>8054</v>
      </c>
      <c r="E7" s="3">
        <f>D7/C7</f>
        <v>0.70266969115337641</v>
      </c>
      <c r="G7" s="28"/>
      <c r="H7" s="18" t="s">
        <v>37</v>
      </c>
      <c r="I7" t="s">
        <v>184</v>
      </c>
      <c r="J7" t="s">
        <v>185</v>
      </c>
      <c r="K7" t="s">
        <v>184</v>
      </c>
      <c r="L7" t="s">
        <v>185</v>
      </c>
      <c r="M7" t="s">
        <v>184</v>
      </c>
      <c r="N7" t="s">
        <v>185</v>
      </c>
      <c r="O7" t="s">
        <v>184</v>
      </c>
      <c r="P7" t="s">
        <v>185</v>
      </c>
      <c r="Q7" t="s">
        <v>184</v>
      </c>
      <c r="R7" t="s">
        <v>185</v>
      </c>
      <c r="S7" t="s">
        <v>184</v>
      </c>
      <c r="T7" t="s">
        <v>185</v>
      </c>
      <c r="U7" t="s">
        <v>184</v>
      </c>
      <c r="V7" t="s">
        <v>185</v>
      </c>
      <c r="Z7" s="28"/>
      <c r="AA7" s="48" t="s">
        <v>43</v>
      </c>
      <c r="AB7" s="28">
        <f t="shared" ref="AB7:AB18" si="1">VLOOKUP($AA7,$H$8:$X$1048576,17,FALSE)/VLOOKUP($AA7,$H$8:$X$1048576,16,FALSE)</f>
        <v>0.70266969115337641</v>
      </c>
      <c r="AC7" s="28">
        <f t="shared" ref="AC7:AC18" si="2">VLOOKUP($AA7,$H$8:$X$1048576,5,FALSE)/VLOOKUP($AA7,$H$8:$X$1048576,4,FALSE)</f>
        <v>0.74218462670099306</v>
      </c>
      <c r="AD7" s="28">
        <f t="shared" ref="AD7:AD18" si="3">VLOOKUP($AA7,$H$8:$X$1048576, 7,FALSE)/VLOOKUP($AA7,$H$8:$X$1048576,6,FALSE)</f>
        <v>0.69398907103825136</v>
      </c>
      <c r="AE7" s="28">
        <f t="shared" ref="AE7:AE18" si="4">VLOOKUP($AA7,$H$8:$X$1048576,9,FALSE)/VLOOKUP($AA7,$H$8:$X$1048576,8,FALSE)</f>
        <v>0.73318551367331852</v>
      </c>
      <c r="AF7" s="28">
        <f t="shared" ref="AF7:AF18" si="5">VLOOKUP($AA7,$H$8:$X$1048576,13,FALSE)/VLOOKUP($AA7,$H$8:$X$1048576,12,FALSE)</f>
        <v>0.69125993189557322</v>
      </c>
      <c r="AG7" s="28">
        <f t="shared" ref="AG7:AG18" si="6">VLOOKUP($AA7,$H$8:$X$1048576,15,FALSE)/VLOOKUP($AA7,$H$8:$X$1048576,14,FALSE)</f>
        <v>0.75324675324675328</v>
      </c>
      <c r="AH7" s="28">
        <f t="shared" ref="AH7:AH18" si="7">VLOOKUP($AA7,$H$8:$X$1048576,3,FALSE)/VLOOKUP($AA7,$H$8:$X$1048576,2,FALSE)</f>
        <v>0.61367380560131801</v>
      </c>
      <c r="AI7" s="28">
        <f t="shared" ref="AI7:AI18" si="8">VLOOKUP($AA7,$H$8:$X$1048576,11,FALSE)/VLOOKUP($AA7,$H$8:$X$1048576,10,FALSE)</f>
        <v>0.65910808767951623</v>
      </c>
      <c r="AJ7" s="28"/>
      <c r="AK7" s="28"/>
      <c r="AL7" s="20"/>
      <c r="AM7" s="19">
        <v>2</v>
      </c>
      <c r="AN7" s="2">
        <v>11462</v>
      </c>
      <c r="AO7" s="2">
        <v>8054</v>
      </c>
      <c r="AP7" s="20">
        <f>(AN7-AO7)/7</f>
        <v>486.85714285714283</v>
      </c>
      <c r="AQ7" s="20"/>
      <c r="AS7" s="18" t="s">
        <v>37</v>
      </c>
      <c r="AT7" t="s">
        <v>184</v>
      </c>
      <c r="AU7" t="s">
        <v>185</v>
      </c>
      <c r="AV7" t="s">
        <v>184</v>
      </c>
      <c r="AW7" t="s">
        <v>185</v>
      </c>
      <c r="AX7" t="s">
        <v>184</v>
      </c>
      <c r="AY7" t="s">
        <v>185</v>
      </c>
      <c r="AZ7" t="s">
        <v>184</v>
      </c>
      <c r="BA7" t="s">
        <v>185</v>
      </c>
      <c r="BB7" t="s">
        <v>184</v>
      </c>
      <c r="BC7" t="s">
        <v>185</v>
      </c>
      <c r="BD7" t="s">
        <v>184</v>
      </c>
      <c r="BE7" t="s">
        <v>185</v>
      </c>
      <c r="BF7" t="s">
        <v>184</v>
      </c>
      <c r="BG7" t="s">
        <v>185</v>
      </c>
      <c r="BL7" s="48" t="s">
        <v>43</v>
      </c>
      <c r="BM7" s="25">
        <f t="shared" ref="BM7:BM18" si="9">(VLOOKUP($BL7,$AS$8:$BI$1048576,16,FALSE)-VLOOKUP($BL7,$AS$8:$BI$1048576,17,FALSE))/7</f>
        <v>486.85714285714283</v>
      </c>
      <c r="BN7" s="25">
        <f t="shared" ref="BN7:BN18" si="10">(VLOOKUP($BL7,$AS$8:$BI$1048576,4,FALSE)-VLOOKUP($BL7,$AS$8:$BI$1048576,5,FALSE))/7</f>
        <v>100.14285714285714</v>
      </c>
      <c r="BO7" s="25">
        <f t="shared" ref="BO7:BO18" si="11">(VLOOKUP($BL7,$AS$8:$BI$1048576,6,FALSE)-VLOOKUP($BL7,$AS$8:$BI$1048576,7,FALSE))/7</f>
        <v>88</v>
      </c>
      <c r="BP7" s="25">
        <f t="shared" ref="BP7:BP18" si="12">(VLOOKUP($BL7,$AS$8:$BI$1048576,8,FALSE)-VLOOKUP($BL7,$AS$8:$BI$1048576,9,FALSE))/7</f>
        <v>51.571428571428569</v>
      </c>
      <c r="BQ7" s="25">
        <f t="shared" ref="BQ7:BQ18" si="13">(VLOOKUP($BL7,$AS$8:$BI$1048576,12,FALSE)-VLOOKUP($BL7,$AS$8:$BI$1048576,13,FALSE))/7</f>
        <v>77.714285714285708</v>
      </c>
      <c r="BR7" s="25">
        <f t="shared" ref="BR7:BR18" si="14">(VLOOKUP($BL7,$AS$8:$BI$1048576,14,FALSE)-VLOOKUP($BL7,$AS$8:$BI$1048576,15,FALSE))/7</f>
        <v>38</v>
      </c>
      <c r="BS7" s="25">
        <f t="shared" ref="BS7:BS18" si="15">(VLOOKUP($BL7,$AS$8:$BI$1048576,2,FALSE)-VLOOKUP($BL7,$AS$8:$BI$1048576,3,FALSE))/7</f>
        <v>67</v>
      </c>
      <c r="BT7" s="25">
        <f t="shared" si="0"/>
        <v>64.428571428571431</v>
      </c>
    </row>
    <row r="8" spans="1:72" x14ac:dyDescent="0.35">
      <c r="A8" s="3"/>
      <c r="B8" s="19">
        <v>3</v>
      </c>
      <c r="C8" s="2">
        <v>11515</v>
      </c>
      <c r="D8" s="2">
        <v>8268</v>
      </c>
      <c r="E8" s="3">
        <f t="shared" ref="E8:E20" si="16">D8/C8</f>
        <v>0.71801997394702566</v>
      </c>
      <c r="G8" s="28"/>
      <c r="H8" s="19" t="s">
        <v>42</v>
      </c>
      <c r="I8" s="2">
        <v>1247</v>
      </c>
      <c r="J8" s="2">
        <v>756</v>
      </c>
      <c r="K8" s="2">
        <v>2738</v>
      </c>
      <c r="L8" s="2">
        <v>2011</v>
      </c>
      <c r="M8" s="2">
        <v>1986</v>
      </c>
      <c r="N8" s="2">
        <v>1320</v>
      </c>
      <c r="O8" s="2">
        <v>1324</v>
      </c>
      <c r="P8" s="2">
        <v>980</v>
      </c>
      <c r="Q8" s="2">
        <v>1322</v>
      </c>
      <c r="R8" s="2">
        <v>949</v>
      </c>
      <c r="S8" s="2">
        <v>1771</v>
      </c>
      <c r="T8" s="2">
        <v>1147</v>
      </c>
      <c r="U8" s="2">
        <v>1078</v>
      </c>
      <c r="V8" s="2">
        <v>787</v>
      </c>
      <c r="W8" s="2">
        <v>11466</v>
      </c>
      <c r="X8" s="2">
        <v>7950</v>
      </c>
      <c r="Y8" s="2"/>
      <c r="Z8" s="28"/>
      <c r="AA8" s="48" t="s">
        <v>44</v>
      </c>
      <c r="AB8" s="28">
        <f t="shared" si="1"/>
        <v>0.71801997394702566</v>
      </c>
      <c r="AC8" s="28">
        <f t="shared" si="2"/>
        <v>0.77029992684711046</v>
      </c>
      <c r="AD8" s="28">
        <f t="shared" si="3"/>
        <v>0.71322436849925708</v>
      </c>
      <c r="AE8" s="28">
        <f t="shared" si="4"/>
        <v>0.74469641550841259</v>
      </c>
      <c r="AF8" s="28">
        <f t="shared" si="5"/>
        <v>0.69090909090909092</v>
      </c>
      <c r="AG8" s="28">
        <f t="shared" si="6"/>
        <v>0.8037037037037037</v>
      </c>
      <c r="AH8" s="28">
        <f t="shared" si="7"/>
        <v>0.63555194805194803</v>
      </c>
      <c r="AI8" s="28">
        <f t="shared" si="8"/>
        <v>0.63265306122448983</v>
      </c>
      <c r="AJ8" s="28"/>
      <c r="AK8" s="28"/>
      <c r="AL8" s="20"/>
      <c r="AM8" s="19">
        <v>3</v>
      </c>
      <c r="AN8" s="2">
        <v>11515</v>
      </c>
      <c r="AO8" s="2">
        <v>8268</v>
      </c>
      <c r="AP8" s="20">
        <f t="shared" ref="AP8:AP20" si="17">(AN8-AO8)/7</f>
        <v>463.85714285714283</v>
      </c>
      <c r="AQ8" s="20"/>
      <c r="AS8" s="19" t="s">
        <v>42</v>
      </c>
      <c r="AT8" s="2">
        <v>1247</v>
      </c>
      <c r="AU8" s="2">
        <v>756</v>
      </c>
      <c r="AV8" s="2">
        <v>2738</v>
      </c>
      <c r="AW8" s="2">
        <v>2011</v>
      </c>
      <c r="AX8" s="2">
        <v>1986</v>
      </c>
      <c r="AY8" s="2">
        <v>1320</v>
      </c>
      <c r="AZ8" s="2">
        <v>1324</v>
      </c>
      <c r="BA8" s="2">
        <v>980</v>
      </c>
      <c r="BB8" s="2">
        <v>1322</v>
      </c>
      <c r="BC8" s="2">
        <v>949</v>
      </c>
      <c r="BD8" s="2">
        <v>1771</v>
      </c>
      <c r="BE8" s="2">
        <v>1147</v>
      </c>
      <c r="BF8" s="2">
        <v>1078</v>
      </c>
      <c r="BG8" s="2">
        <v>787</v>
      </c>
      <c r="BH8" s="2">
        <v>11466</v>
      </c>
      <c r="BI8" s="2">
        <v>7950</v>
      </c>
      <c r="BJ8" s="2"/>
      <c r="BL8" s="48" t="s">
        <v>44</v>
      </c>
      <c r="BM8" s="25">
        <f t="shared" si="9"/>
        <v>463.85714285714283</v>
      </c>
      <c r="BN8" s="25">
        <f t="shared" si="10"/>
        <v>89.714285714285708</v>
      </c>
      <c r="BO8" s="25">
        <f t="shared" si="11"/>
        <v>82.714285714285708</v>
      </c>
      <c r="BP8" s="25">
        <f t="shared" si="12"/>
        <v>49.857142857142854</v>
      </c>
      <c r="BQ8" s="25">
        <f t="shared" si="13"/>
        <v>77.714285714285708</v>
      </c>
      <c r="BR8" s="25">
        <f t="shared" si="14"/>
        <v>30.285714285714285</v>
      </c>
      <c r="BS8" s="25">
        <f t="shared" si="15"/>
        <v>64.142857142857139</v>
      </c>
      <c r="BT8" s="25">
        <f t="shared" si="0"/>
        <v>69.428571428571431</v>
      </c>
    </row>
    <row r="9" spans="1:72" x14ac:dyDescent="0.35">
      <c r="A9" s="3"/>
      <c r="B9" s="19">
        <v>4</v>
      </c>
      <c r="C9" s="2">
        <v>11458</v>
      </c>
      <c r="D9" s="2">
        <v>7776</v>
      </c>
      <c r="E9" s="3">
        <f>D9/C9</f>
        <v>0.67865246989003314</v>
      </c>
      <c r="G9" s="28"/>
      <c r="H9" s="19" t="s">
        <v>51</v>
      </c>
      <c r="I9" s="2">
        <v>1263</v>
      </c>
      <c r="J9" s="2">
        <v>790</v>
      </c>
      <c r="K9" s="2">
        <v>2737</v>
      </c>
      <c r="L9" s="2">
        <v>1980</v>
      </c>
      <c r="M9" s="2">
        <v>2044</v>
      </c>
      <c r="N9" s="2">
        <v>1353</v>
      </c>
      <c r="O9" s="2">
        <v>1350</v>
      </c>
      <c r="P9" s="2">
        <v>940</v>
      </c>
      <c r="Q9" s="2">
        <v>1317</v>
      </c>
      <c r="R9" s="2">
        <v>778</v>
      </c>
      <c r="S9" s="2">
        <v>1753</v>
      </c>
      <c r="T9" s="2">
        <v>1179</v>
      </c>
      <c r="U9" s="2">
        <v>1078</v>
      </c>
      <c r="V9" s="2">
        <v>754</v>
      </c>
      <c r="W9" s="2">
        <v>11542</v>
      </c>
      <c r="X9" s="2">
        <v>7774</v>
      </c>
      <c r="Y9" s="2"/>
      <c r="Z9" s="28"/>
      <c r="AA9" s="48" t="s">
        <v>45</v>
      </c>
      <c r="AB9" s="28">
        <f t="shared" si="1"/>
        <v>0.67865246989003314</v>
      </c>
      <c r="AC9" s="28">
        <f t="shared" si="2"/>
        <v>0.72341980270369022</v>
      </c>
      <c r="AD9" s="28">
        <f t="shared" si="3"/>
        <v>0.66633064516129037</v>
      </c>
      <c r="AE9" s="28">
        <f t="shared" si="4"/>
        <v>0.69751693002257331</v>
      </c>
      <c r="AF9" s="28">
        <f t="shared" si="5"/>
        <v>0.63443935926773454</v>
      </c>
      <c r="AG9" s="28">
        <f t="shared" si="6"/>
        <v>0.7717996289424861</v>
      </c>
      <c r="AH9" s="28">
        <f t="shared" si="7"/>
        <v>0.65172137710168132</v>
      </c>
      <c r="AI9" s="28">
        <f t="shared" si="8"/>
        <v>0.59414853713428362</v>
      </c>
      <c r="AJ9" s="28"/>
      <c r="AK9" s="28"/>
      <c r="AL9" s="20"/>
      <c r="AM9" s="19">
        <v>4</v>
      </c>
      <c r="AN9" s="2">
        <v>11458</v>
      </c>
      <c r="AO9" s="2">
        <v>7776</v>
      </c>
      <c r="AP9" s="20">
        <f t="shared" si="17"/>
        <v>526</v>
      </c>
      <c r="AQ9" s="20"/>
      <c r="AS9" s="19" t="s">
        <v>51</v>
      </c>
      <c r="AT9" s="2">
        <v>1263</v>
      </c>
      <c r="AU9" s="2">
        <v>790</v>
      </c>
      <c r="AV9" s="2">
        <v>2737</v>
      </c>
      <c r="AW9" s="2">
        <v>1980</v>
      </c>
      <c r="AX9" s="2">
        <v>2044</v>
      </c>
      <c r="AY9" s="2">
        <v>1353</v>
      </c>
      <c r="AZ9" s="2">
        <v>1350</v>
      </c>
      <c r="BA9" s="2">
        <v>940</v>
      </c>
      <c r="BB9" s="2">
        <v>1317</v>
      </c>
      <c r="BC9" s="2">
        <v>778</v>
      </c>
      <c r="BD9" s="2">
        <v>1753</v>
      </c>
      <c r="BE9" s="2">
        <v>1179</v>
      </c>
      <c r="BF9" s="2">
        <v>1078</v>
      </c>
      <c r="BG9" s="2">
        <v>754</v>
      </c>
      <c r="BH9" s="2">
        <v>11542</v>
      </c>
      <c r="BI9" s="2">
        <v>7774</v>
      </c>
      <c r="BJ9" s="2"/>
      <c r="BL9" s="48" t="s">
        <v>45</v>
      </c>
      <c r="BM9" s="25">
        <f t="shared" si="9"/>
        <v>526</v>
      </c>
      <c r="BN9" s="25">
        <f t="shared" si="10"/>
        <v>108.14285714285714</v>
      </c>
      <c r="BO9" s="25">
        <f t="shared" si="11"/>
        <v>94.571428571428569</v>
      </c>
      <c r="BP9" s="25">
        <f t="shared" si="12"/>
        <v>57.428571428571431</v>
      </c>
      <c r="BQ9" s="25">
        <f t="shared" si="13"/>
        <v>91.285714285714292</v>
      </c>
      <c r="BR9" s="25">
        <f t="shared" si="14"/>
        <v>35.142857142857146</v>
      </c>
      <c r="BS9" s="25">
        <f t="shared" si="15"/>
        <v>62.142857142857146</v>
      </c>
      <c r="BT9" s="25">
        <f t="shared" si="0"/>
        <v>77.285714285714292</v>
      </c>
    </row>
    <row r="10" spans="1:72" x14ac:dyDescent="0.35">
      <c r="A10" s="3"/>
      <c r="B10" s="19">
        <v>5</v>
      </c>
      <c r="C10" s="2">
        <v>11530</v>
      </c>
      <c r="D10" s="2">
        <v>7836</v>
      </c>
      <c r="E10" s="3">
        <f>D10/C10</f>
        <v>0.67961838681699915</v>
      </c>
      <c r="G10" s="28"/>
      <c r="H10" s="19" t="s">
        <v>52</v>
      </c>
      <c r="I10" s="2">
        <v>1237</v>
      </c>
      <c r="J10" s="2">
        <v>802</v>
      </c>
      <c r="K10" s="2">
        <v>2715</v>
      </c>
      <c r="L10" s="2">
        <v>1921</v>
      </c>
      <c r="M10" s="2">
        <v>2042</v>
      </c>
      <c r="N10" s="2">
        <v>1319</v>
      </c>
      <c r="O10" s="2">
        <v>1325</v>
      </c>
      <c r="P10" s="2">
        <v>910</v>
      </c>
      <c r="Q10" s="2">
        <v>1309</v>
      </c>
      <c r="R10" s="2">
        <v>788</v>
      </c>
      <c r="S10" s="2">
        <v>1733</v>
      </c>
      <c r="T10" s="2">
        <v>1097</v>
      </c>
      <c r="U10" s="2">
        <v>1078</v>
      </c>
      <c r="V10" s="2">
        <v>736</v>
      </c>
      <c r="W10" s="2">
        <v>11439</v>
      </c>
      <c r="X10" s="2">
        <v>7573</v>
      </c>
      <c r="Y10" s="2"/>
      <c r="Z10" s="28"/>
      <c r="AA10" s="20" t="s">
        <v>46</v>
      </c>
      <c r="AB10" s="28">
        <f t="shared" si="1"/>
        <v>0.67961838681699915</v>
      </c>
      <c r="AC10" s="28">
        <f t="shared" si="2"/>
        <v>0.70813571689164534</v>
      </c>
      <c r="AD10" s="28">
        <f t="shared" si="3"/>
        <v>0.67454455933037916</v>
      </c>
      <c r="AE10" s="28">
        <f t="shared" si="4"/>
        <v>0.68634969325153372</v>
      </c>
      <c r="AF10" s="28">
        <f t="shared" si="5"/>
        <v>0.64245495495495497</v>
      </c>
      <c r="AG10" s="28">
        <f t="shared" si="6"/>
        <v>0.72263450834879406</v>
      </c>
      <c r="AH10" s="28">
        <f t="shared" si="7"/>
        <v>0.69561815336463229</v>
      </c>
      <c r="AI10" s="28">
        <f t="shared" si="8"/>
        <v>0.62102874432677757</v>
      </c>
      <c r="AJ10" s="28"/>
      <c r="AK10" s="28"/>
      <c r="AL10" s="20"/>
      <c r="AM10" s="19">
        <v>5</v>
      </c>
      <c r="AN10" s="2">
        <v>11530</v>
      </c>
      <c r="AO10" s="2">
        <v>7836</v>
      </c>
      <c r="AP10" s="20">
        <f t="shared" si="17"/>
        <v>527.71428571428567</v>
      </c>
      <c r="AQ10" s="20"/>
      <c r="AS10" s="19" t="s">
        <v>52</v>
      </c>
      <c r="AT10" s="2">
        <v>1237</v>
      </c>
      <c r="AU10" s="2">
        <v>802</v>
      </c>
      <c r="AV10" s="2">
        <v>2715</v>
      </c>
      <c r="AW10" s="2">
        <v>1921</v>
      </c>
      <c r="AX10" s="2">
        <v>2042</v>
      </c>
      <c r="AY10" s="2">
        <v>1319</v>
      </c>
      <c r="AZ10" s="2">
        <v>1325</v>
      </c>
      <c r="BA10" s="2">
        <v>910</v>
      </c>
      <c r="BB10" s="2">
        <v>1309</v>
      </c>
      <c r="BC10" s="2">
        <v>788</v>
      </c>
      <c r="BD10" s="2">
        <v>1733</v>
      </c>
      <c r="BE10" s="2">
        <v>1097</v>
      </c>
      <c r="BF10" s="2">
        <v>1078</v>
      </c>
      <c r="BG10" s="2">
        <v>736</v>
      </c>
      <c r="BH10" s="2">
        <v>11439</v>
      </c>
      <c r="BI10" s="2">
        <v>7573</v>
      </c>
      <c r="BJ10" s="2"/>
      <c r="BL10" s="20" t="s">
        <v>46</v>
      </c>
      <c r="BM10" s="25">
        <f t="shared" si="9"/>
        <v>527.71428571428567</v>
      </c>
      <c r="BN10" s="25">
        <f t="shared" si="10"/>
        <v>114.28571428571429</v>
      </c>
      <c r="BO10" s="25">
        <f t="shared" si="11"/>
        <v>94.428571428571431</v>
      </c>
      <c r="BP10" s="25">
        <f t="shared" si="12"/>
        <v>58.428571428571431</v>
      </c>
      <c r="BQ10" s="25">
        <f t="shared" si="13"/>
        <v>90.714285714285708</v>
      </c>
      <c r="BR10" s="25">
        <f t="shared" si="14"/>
        <v>42.714285714285715</v>
      </c>
      <c r="BS10" s="25">
        <f t="shared" si="15"/>
        <v>55.571428571428569</v>
      </c>
      <c r="BT10" s="25">
        <f t="shared" si="0"/>
        <v>71.571428571428569</v>
      </c>
    </row>
    <row r="11" spans="1:72" x14ac:dyDescent="0.35">
      <c r="A11" s="3"/>
      <c r="B11" s="19">
        <v>6</v>
      </c>
      <c r="C11" s="2">
        <v>11520</v>
      </c>
      <c r="D11" s="2">
        <v>8016</v>
      </c>
      <c r="E11" s="3">
        <f>D11/C11</f>
        <v>0.6958333333333333</v>
      </c>
      <c r="G11" s="28"/>
      <c r="H11" s="19" t="s">
        <v>53</v>
      </c>
      <c r="I11" s="2">
        <v>1233</v>
      </c>
      <c r="J11" s="2">
        <v>794</v>
      </c>
      <c r="K11" s="2">
        <v>2733</v>
      </c>
      <c r="L11" s="2">
        <v>1962</v>
      </c>
      <c r="M11" s="2">
        <v>2042</v>
      </c>
      <c r="N11" s="2">
        <v>1365</v>
      </c>
      <c r="O11" s="2">
        <v>1361</v>
      </c>
      <c r="P11" s="2">
        <v>923</v>
      </c>
      <c r="Q11" s="2">
        <v>1364</v>
      </c>
      <c r="R11" s="2">
        <v>818</v>
      </c>
      <c r="S11" s="2">
        <v>1727</v>
      </c>
      <c r="T11" s="2">
        <v>1133</v>
      </c>
      <c r="U11" s="2">
        <v>1079</v>
      </c>
      <c r="V11" s="2">
        <v>743</v>
      </c>
      <c r="W11" s="2">
        <v>11539</v>
      </c>
      <c r="X11" s="2">
        <v>7738</v>
      </c>
      <c r="Y11" s="2"/>
      <c r="Z11" s="28"/>
      <c r="AA11" s="20" t="s">
        <v>47</v>
      </c>
      <c r="AB11" s="28">
        <f t="shared" si="1"/>
        <v>0.6958333333333333</v>
      </c>
      <c r="AC11" s="28">
        <f t="shared" si="2"/>
        <v>0.71103777044371108</v>
      </c>
      <c r="AD11" s="28">
        <f t="shared" si="3"/>
        <v>0.69493177387914229</v>
      </c>
      <c r="AE11" s="28">
        <f t="shared" si="4"/>
        <v>0.71406844106463874</v>
      </c>
      <c r="AF11" s="28">
        <f t="shared" si="5"/>
        <v>0.73191250701065624</v>
      </c>
      <c r="AG11" s="28">
        <f t="shared" si="6"/>
        <v>0.73493975903614461</v>
      </c>
      <c r="AH11" s="28">
        <f t="shared" si="7"/>
        <v>0.63900080580177276</v>
      </c>
      <c r="AI11" s="28">
        <f t="shared" si="8"/>
        <v>0.6205593348450491</v>
      </c>
      <c r="AJ11" s="28"/>
      <c r="AK11" s="28"/>
      <c r="AL11" s="20"/>
      <c r="AM11" s="19">
        <v>6</v>
      </c>
      <c r="AN11" s="2">
        <v>11520</v>
      </c>
      <c r="AO11" s="2">
        <v>8016</v>
      </c>
      <c r="AP11" s="20">
        <f>(AN11-AO11)/7</f>
        <v>500.57142857142856</v>
      </c>
      <c r="AQ11" s="20"/>
      <c r="AS11" s="19" t="s">
        <v>53</v>
      </c>
      <c r="AT11" s="2">
        <v>1233</v>
      </c>
      <c r="AU11" s="2">
        <v>794</v>
      </c>
      <c r="AV11" s="2">
        <v>2733</v>
      </c>
      <c r="AW11" s="2">
        <v>1962</v>
      </c>
      <c r="AX11" s="2">
        <v>2042</v>
      </c>
      <c r="AY11" s="2">
        <v>1365</v>
      </c>
      <c r="AZ11" s="2">
        <v>1361</v>
      </c>
      <c r="BA11" s="2">
        <v>923</v>
      </c>
      <c r="BB11" s="2">
        <v>1364</v>
      </c>
      <c r="BC11" s="2">
        <v>818</v>
      </c>
      <c r="BD11" s="2">
        <v>1727</v>
      </c>
      <c r="BE11" s="2">
        <v>1133</v>
      </c>
      <c r="BF11" s="2">
        <v>1079</v>
      </c>
      <c r="BG11" s="2">
        <v>743</v>
      </c>
      <c r="BH11" s="2">
        <v>11539</v>
      </c>
      <c r="BI11" s="2">
        <v>7738</v>
      </c>
      <c r="BJ11" s="2"/>
      <c r="BL11" s="20" t="s">
        <v>47</v>
      </c>
      <c r="BM11" s="25">
        <f t="shared" si="9"/>
        <v>500.57142857142856</v>
      </c>
      <c r="BN11" s="25">
        <f t="shared" si="10"/>
        <v>112.57142857142857</v>
      </c>
      <c r="BO11" s="25">
        <f t="shared" si="11"/>
        <v>89.428571428571431</v>
      </c>
      <c r="BP11" s="25">
        <f t="shared" si="12"/>
        <v>53.714285714285715</v>
      </c>
      <c r="BQ11" s="25">
        <f t="shared" si="13"/>
        <v>68.285714285714292</v>
      </c>
      <c r="BR11" s="25">
        <f t="shared" si="14"/>
        <v>40.857142857142854</v>
      </c>
      <c r="BS11" s="25">
        <f t="shared" si="15"/>
        <v>64</v>
      </c>
      <c r="BT11" s="25">
        <f t="shared" si="0"/>
        <v>71.714285714285708</v>
      </c>
    </row>
    <row r="12" spans="1:72" x14ac:dyDescent="0.35">
      <c r="A12" s="3"/>
      <c r="B12" s="19">
        <v>7</v>
      </c>
      <c r="C12" s="2">
        <v>11542</v>
      </c>
      <c r="D12" s="2">
        <v>7996</v>
      </c>
      <c r="E12" s="3">
        <f>D12/C12</f>
        <v>0.69277421590712185</v>
      </c>
      <c r="G12" s="28"/>
      <c r="H12" s="19" t="s">
        <v>54</v>
      </c>
      <c r="I12" s="2">
        <v>1231</v>
      </c>
      <c r="J12" s="2">
        <v>802</v>
      </c>
      <c r="K12" s="2">
        <v>2730</v>
      </c>
      <c r="L12" s="2">
        <v>1926</v>
      </c>
      <c r="M12" s="2">
        <v>2057</v>
      </c>
      <c r="N12" s="2">
        <v>1354</v>
      </c>
      <c r="O12" s="2">
        <v>1350</v>
      </c>
      <c r="P12" s="2">
        <v>895</v>
      </c>
      <c r="Q12" s="2">
        <v>1366</v>
      </c>
      <c r="R12" s="2">
        <v>803</v>
      </c>
      <c r="S12" s="2">
        <v>1730</v>
      </c>
      <c r="T12" s="2">
        <v>1163</v>
      </c>
      <c r="U12" s="2">
        <v>1078</v>
      </c>
      <c r="V12" s="2">
        <v>755</v>
      </c>
      <c r="W12" s="2">
        <v>11542</v>
      </c>
      <c r="X12" s="2">
        <v>7698</v>
      </c>
      <c r="Y12" s="2"/>
      <c r="Z12" s="28"/>
      <c r="AA12" s="20" t="s">
        <v>48</v>
      </c>
      <c r="AB12" s="28">
        <f t="shared" si="1"/>
        <v>0.69277421590712185</v>
      </c>
      <c r="AC12" s="28">
        <f t="shared" si="2"/>
        <v>0.72002923976608191</v>
      </c>
      <c r="AD12" s="28">
        <f t="shared" si="3"/>
        <v>0.68912936546974912</v>
      </c>
      <c r="AE12" s="28">
        <f t="shared" si="4"/>
        <v>0.71819526627218933</v>
      </c>
      <c r="AF12" s="28">
        <f t="shared" si="5"/>
        <v>0.71753986332574027</v>
      </c>
      <c r="AG12" s="28">
        <f t="shared" si="6"/>
        <v>0.72634508348794058</v>
      </c>
      <c r="AH12" s="28">
        <f t="shared" si="7"/>
        <v>0.63888888888888884</v>
      </c>
      <c r="AI12" s="28">
        <f t="shared" si="8"/>
        <v>0.60738507912584783</v>
      </c>
      <c r="AJ12" s="28"/>
      <c r="AK12" s="28"/>
      <c r="AL12" s="20"/>
      <c r="AM12" s="19">
        <v>7</v>
      </c>
      <c r="AN12" s="2">
        <v>11542</v>
      </c>
      <c r="AO12" s="2">
        <v>7996</v>
      </c>
      <c r="AP12" s="20">
        <f t="shared" si="17"/>
        <v>506.57142857142856</v>
      </c>
      <c r="AQ12" s="20"/>
      <c r="AS12" s="19" t="s">
        <v>54</v>
      </c>
      <c r="AT12" s="2">
        <v>1231</v>
      </c>
      <c r="AU12" s="2">
        <v>802</v>
      </c>
      <c r="AV12" s="2">
        <v>2730</v>
      </c>
      <c r="AW12" s="2">
        <v>1926</v>
      </c>
      <c r="AX12" s="2">
        <v>2057</v>
      </c>
      <c r="AY12" s="2">
        <v>1354</v>
      </c>
      <c r="AZ12" s="2">
        <v>1350</v>
      </c>
      <c r="BA12" s="2">
        <v>895</v>
      </c>
      <c r="BB12" s="2">
        <v>1366</v>
      </c>
      <c r="BC12" s="2">
        <v>803</v>
      </c>
      <c r="BD12" s="2">
        <v>1730</v>
      </c>
      <c r="BE12" s="2">
        <v>1163</v>
      </c>
      <c r="BF12" s="2">
        <v>1078</v>
      </c>
      <c r="BG12" s="2">
        <v>755</v>
      </c>
      <c r="BH12" s="2">
        <v>11542</v>
      </c>
      <c r="BI12" s="2">
        <v>7698</v>
      </c>
      <c r="BJ12" s="2"/>
      <c r="BL12" s="20" t="s">
        <v>48</v>
      </c>
      <c r="BM12" s="25">
        <f t="shared" si="9"/>
        <v>506.57142857142856</v>
      </c>
      <c r="BN12" s="25">
        <f t="shared" si="10"/>
        <v>109.42857142857143</v>
      </c>
      <c r="BO12" s="25">
        <f t="shared" si="11"/>
        <v>90.285714285714292</v>
      </c>
      <c r="BP12" s="25">
        <f t="shared" si="12"/>
        <v>54.428571428571431</v>
      </c>
      <c r="BQ12" s="25">
        <f t="shared" si="13"/>
        <v>70.857142857142861</v>
      </c>
      <c r="BR12" s="25">
        <f t="shared" si="14"/>
        <v>42.142857142857146</v>
      </c>
      <c r="BS12" s="25">
        <f t="shared" si="15"/>
        <v>65</v>
      </c>
      <c r="BT12" s="25">
        <f t="shared" si="0"/>
        <v>74.428571428571431</v>
      </c>
    </row>
    <row r="13" spans="1:72" x14ac:dyDescent="0.35">
      <c r="A13" s="3"/>
      <c r="B13" s="19">
        <v>8</v>
      </c>
      <c r="C13" s="2">
        <v>11565</v>
      </c>
      <c r="D13" s="2">
        <v>8102</v>
      </c>
      <c r="E13" s="3">
        <f>D13/C13</f>
        <v>0.70056204063986161</v>
      </c>
      <c r="G13" s="28"/>
      <c r="H13" s="19" t="s">
        <v>43</v>
      </c>
      <c r="I13" s="2">
        <v>1214</v>
      </c>
      <c r="J13" s="2">
        <v>745</v>
      </c>
      <c r="K13" s="2">
        <v>2719</v>
      </c>
      <c r="L13" s="2">
        <v>2018</v>
      </c>
      <c r="M13" s="2">
        <v>2013</v>
      </c>
      <c r="N13" s="2">
        <v>1397</v>
      </c>
      <c r="O13" s="2">
        <v>1353</v>
      </c>
      <c r="P13" s="2">
        <v>992</v>
      </c>
      <c r="Q13" s="2">
        <v>1323</v>
      </c>
      <c r="R13" s="2">
        <v>872</v>
      </c>
      <c r="S13" s="2">
        <v>1762</v>
      </c>
      <c r="T13" s="2">
        <v>1218</v>
      </c>
      <c r="U13" s="2">
        <v>1078</v>
      </c>
      <c r="V13" s="2">
        <v>812</v>
      </c>
      <c r="W13" s="2">
        <v>11462</v>
      </c>
      <c r="X13" s="2">
        <v>8054</v>
      </c>
      <c r="Y13" s="2"/>
      <c r="Z13" s="28"/>
      <c r="AA13" s="20" t="s">
        <v>49</v>
      </c>
      <c r="AB13" s="28">
        <f t="shared" si="1"/>
        <v>0.70056204063986161</v>
      </c>
      <c r="AC13" s="28">
        <f t="shared" si="2"/>
        <v>0.72697368421052633</v>
      </c>
      <c r="AD13" s="28">
        <f t="shared" si="3"/>
        <v>0.69355632070831286</v>
      </c>
      <c r="AE13" s="28">
        <f t="shared" si="4"/>
        <v>0.70878721859114013</v>
      </c>
      <c r="AF13" s="28">
        <f t="shared" si="5"/>
        <v>0.7221908526256352</v>
      </c>
      <c r="AG13" s="28">
        <f t="shared" si="6"/>
        <v>0.75</v>
      </c>
      <c r="AH13" s="28">
        <f t="shared" si="7"/>
        <v>0.65995165189363414</v>
      </c>
      <c r="AI13" s="28">
        <f t="shared" si="8"/>
        <v>0.6171816126601356</v>
      </c>
      <c r="AJ13" s="28"/>
      <c r="AK13" s="28"/>
      <c r="AL13" s="20"/>
      <c r="AM13" s="19">
        <v>8</v>
      </c>
      <c r="AN13" s="2">
        <v>11565</v>
      </c>
      <c r="AO13" s="2">
        <v>8102</v>
      </c>
      <c r="AP13" s="20">
        <f t="shared" si="17"/>
        <v>494.71428571428572</v>
      </c>
      <c r="AQ13" s="20"/>
      <c r="AS13" s="19" t="s">
        <v>43</v>
      </c>
      <c r="AT13" s="2">
        <v>1214</v>
      </c>
      <c r="AU13" s="2">
        <v>745</v>
      </c>
      <c r="AV13" s="2">
        <v>2719</v>
      </c>
      <c r="AW13" s="2">
        <v>2018</v>
      </c>
      <c r="AX13" s="2">
        <v>2013</v>
      </c>
      <c r="AY13" s="2">
        <v>1397</v>
      </c>
      <c r="AZ13" s="2">
        <v>1353</v>
      </c>
      <c r="BA13" s="2">
        <v>992</v>
      </c>
      <c r="BB13" s="2">
        <v>1323</v>
      </c>
      <c r="BC13" s="2">
        <v>872</v>
      </c>
      <c r="BD13" s="2">
        <v>1762</v>
      </c>
      <c r="BE13" s="2">
        <v>1218</v>
      </c>
      <c r="BF13" s="2">
        <v>1078</v>
      </c>
      <c r="BG13" s="2">
        <v>812</v>
      </c>
      <c r="BH13" s="2">
        <v>11462</v>
      </c>
      <c r="BI13" s="2">
        <v>8054</v>
      </c>
      <c r="BJ13" s="2"/>
      <c r="BL13" s="20" t="s">
        <v>49</v>
      </c>
      <c r="BM13" s="25">
        <f t="shared" si="9"/>
        <v>494.71428571428572</v>
      </c>
      <c r="BN13" s="25">
        <f t="shared" si="10"/>
        <v>106.71428571428571</v>
      </c>
      <c r="BO13" s="25">
        <f t="shared" si="11"/>
        <v>89</v>
      </c>
      <c r="BP13" s="25">
        <f t="shared" si="12"/>
        <v>57.285714285714285</v>
      </c>
      <c r="BQ13" s="25">
        <f t="shared" si="13"/>
        <v>70.285714285714292</v>
      </c>
      <c r="BR13" s="25">
        <f t="shared" si="14"/>
        <v>38.571428571428569</v>
      </c>
      <c r="BS13" s="25">
        <f t="shared" si="15"/>
        <v>60.285714285714285</v>
      </c>
      <c r="BT13" s="25">
        <f t="shared" si="0"/>
        <v>72.571428571428569</v>
      </c>
    </row>
    <row r="14" spans="1:72" x14ac:dyDescent="0.35">
      <c r="A14" s="3"/>
      <c r="B14" s="19">
        <v>9</v>
      </c>
      <c r="C14" s="2">
        <v>11615</v>
      </c>
      <c r="D14" s="2">
        <v>8191</v>
      </c>
      <c r="E14" s="3">
        <f t="shared" si="16"/>
        <v>0.70520878174774004</v>
      </c>
      <c r="G14" s="28"/>
      <c r="H14" s="19" t="s">
        <v>44</v>
      </c>
      <c r="I14" s="2">
        <v>1232</v>
      </c>
      <c r="J14" s="2">
        <v>783</v>
      </c>
      <c r="K14" s="2">
        <v>2734</v>
      </c>
      <c r="L14" s="2">
        <v>2106</v>
      </c>
      <c r="M14" s="2">
        <v>2019</v>
      </c>
      <c r="N14" s="2">
        <v>1440</v>
      </c>
      <c r="O14" s="2">
        <v>1367</v>
      </c>
      <c r="P14" s="2">
        <v>1018</v>
      </c>
      <c r="Q14" s="2">
        <v>1323</v>
      </c>
      <c r="R14" s="2">
        <v>837</v>
      </c>
      <c r="S14" s="2">
        <v>1760</v>
      </c>
      <c r="T14" s="2">
        <v>1216</v>
      </c>
      <c r="U14" s="2">
        <v>1080</v>
      </c>
      <c r="V14" s="2">
        <v>868</v>
      </c>
      <c r="W14" s="2">
        <v>11515</v>
      </c>
      <c r="X14" s="2">
        <v>8268</v>
      </c>
      <c r="Y14" s="2"/>
      <c r="Z14" s="28"/>
      <c r="AA14" s="20" t="s">
        <v>50</v>
      </c>
      <c r="AB14" s="28">
        <f t="shared" si="1"/>
        <v>0.70520878174774004</v>
      </c>
      <c r="AC14" s="28">
        <f t="shared" si="2"/>
        <v>0.70127970749542956</v>
      </c>
      <c r="AD14" s="28">
        <f t="shared" si="3"/>
        <v>0.70238675109595716</v>
      </c>
      <c r="AE14" s="28">
        <f t="shared" si="4"/>
        <v>0.72786177105831529</v>
      </c>
      <c r="AF14" s="28">
        <f t="shared" si="5"/>
        <v>0.75321049692908992</v>
      </c>
      <c r="AG14" s="28">
        <f t="shared" si="6"/>
        <v>0.77551020408163263</v>
      </c>
      <c r="AH14" s="28">
        <f t="shared" si="7"/>
        <v>0.64988009592326135</v>
      </c>
      <c r="AI14" s="28">
        <f t="shared" si="8"/>
        <v>0.62367223065250377</v>
      </c>
      <c r="AJ14" s="28"/>
      <c r="AK14" s="28"/>
      <c r="AL14" s="20"/>
      <c r="AM14" s="19">
        <v>9</v>
      </c>
      <c r="AN14" s="2">
        <v>11615</v>
      </c>
      <c r="AO14" s="2">
        <v>8191</v>
      </c>
      <c r="AP14" s="20">
        <f t="shared" si="17"/>
        <v>489.14285714285717</v>
      </c>
      <c r="AQ14" s="20"/>
      <c r="AS14" s="19" t="s">
        <v>44</v>
      </c>
      <c r="AT14" s="2">
        <v>1232</v>
      </c>
      <c r="AU14" s="2">
        <v>783</v>
      </c>
      <c r="AV14" s="2">
        <v>2734</v>
      </c>
      <c r="AW14" s="2">
        <v>2106</v>
      </c>
      <c r="AX14" s="2">
        <v>2019</v>
      </c>
      <c r="AY14" s="2">
        <v>1440</v>
      </c>
      <c r="AZ14" s="2">
        <v>1367</v>
      </c>
      <c r="BA14" s="2">
        <v>1018</v>
      </c>
      <c r="BB14" s="2">
        <v>1323</v>
      </c>
      <c r="BC14" s="2">
        <v>837</v>
      </c>
      <c r="BD14" s="2">
        <v>1760</v>
      </c>
      <c r="BE14" s="2">
        <v>1216</v>
      </c>
      <c r="BF14" s="2">
        <v>1080</v>
      </c>
      <c r="BG14" s="2">
        <v>868</v>
      </c>
      <c r="BH14" s="2">
        <v>11515</v>
      </c>
      <c r="BI14" s="2">
        <v>8268</v>
      </c>
      <c r="BJ14" s="2"/>
      <c r="BL14" s="20" t="s">
        <v>50</v>
      </c>
      <c r="BM14" s="25">
        <f t="shared" si="9"/>
        <v>489.14285714285717</v>
      </c>
      <c r="BN14" s="25">
        <f t="shared" si="10"/>
        <v>116.71428571428571</v>
      </c>
      <c r="BO14" s="25">
        <f t="shared" si="11"/>
        <v>87.285714285714292</v>
      </c>
      <c r="BP14" s="25">
        <f t="shared" si="12"/>
        <v>54</v>
      </c>
      <c r="BQ14" s="25">
        <f t="shared" si="13"/>
        <v>63.142857142857146</v>
      </c>
      <c r="BR14" s="25">
        <f t="shared" si="14"/>
        <v>34.571428571428569</v>
      </c>
      <c r="BS14" s="25">
        <f t="shared" si="15"/>
        <v>62.571428571428569</v>
      </c>
      <c r="BT14" s="25">
        <f t="shared" si="0"/>
        <v>70.857142857142861</v>
      </c>
    </row>
    <row r="15" spans="1:72" x14ac:dyDescent="0.35">
      <c r="A15" s="3"/>
      <c r="B15" s="19">
        <v>10</v>
      </c>
      <c r="C15" s="2">
        <v>11542</v>
      </c>
      <c r="D15" s="2">
        <v>7774</v>
      </c>
      <c r="E15" s="3">
        <f t="shared" si="16"/>
        <v>0.67354011436492811</v>
      </c>
      <c r="G15" s="28"/>
      <c r="H15" s="19" t="s">
        <v>45</v>
      </c>
      <c r="I15" s="2">
        <v>1249</v>
      </c>
      <c r="J15" s="2">
        <v>814</v>
      </c>
      <c r="K15" s="2">
        <v>2737</v>
      </c>
      <c r="L15" s="2">
        <v>1980</v>
      </c>
      <c r="M15" s="2">
        <v>1984</v>
      </c>
      <c r="N15" s="2">
        <v>1322</v>
      </c>
      <c r="O15" s="2">
        <v>1329</v>
      </c>
      <c r="P15" s="2">
        <v>927</v>
      </c>
      <c r="Q15" s="2">
        <v>1333</v>
      </c>
      <c r="R15" s="2">
        <v>792</v>
      </c>
      <c r="S15" s="2">
        <v>1748</v>
      </c>
      <c r="T15" s="2">
        <v>1109</v>
      </c>
      <c r="U15" s="2">
        <v>1078</v>
      </c>
      <c r="V15" s="2">
        <v>832</v>
      </c>
      <c r="W15" s="2">
        <v>11458</v>
      </c>
      <c r="X15" s="2">
        <v>7776</v>
      </c>
      <c r="Y15" s="2"/>
      <c r="Z15" s="28"/>
      <c r="AA15" s="20" t="s">
        <v>51</v>
      </c>
      <c r="AB15" s="28">
        <f t="shared" si="1"/>
        <v>0.67354011436492811</v>
      </c>
      <c r="AC15" s="28">
        <f t="shared" si="2"/>
        <v>0.72341980270369022</v>
      </c>
      <c r="AD15" s="28">
        <f t="shared" si="3"/>
        <v>0.6619373776908023</v>
      </c>
      <c r="AE15" s="28">
        <f t="shared" si="4"/>
        <v>0.6962962962962963</v>
      </c>
      <c r="AF15" s="28">
        <f t="shared" si="5"/>
        <v>0.672561323445522</v>
      </c>
      <c r="AG15" s="28">
        <f t="shared" si="6"/>
        <v>0.69944341372912799</v>
      </c>
      <c r="AH15" s="28">
        <f t="shared" si="7"/>
        <v>0.6254948535233571</v>
      </c>
      <c r="AI15" s="28">
        <f t="shared" si="8"/>
        <v>0.59073652239939256</v>
      </c>
      <c r="AJ15" s="28"/>
      <c r="AK15" s="28"/>
      <c r="AL15" s="20"/>
      <c r="AM15" s="19">
        <v>10</v>
      </c>
      <c r="AN15" s="2">
        <v>11542</v>
      </c>
      <c r="AO15" s="2">
        <v>7774</v>
      </c>
      <c r="AP15" s="20">
        <f t="shared" si="17"/>
        <v>538.28571428571433</v>
      </c>
      <c r="AQ15" s="20"/>
      <c r="AS15" s="19" t="s">
        <v>45</v>
      </c>
      <c r="AT15" s="2">
        <v>1249</v>
      </c>
      <c r="AU15" s="2">
        <v>814</v>
      </c>
      <c r="AV15" s="2">
        <v>2737</v>
      </c>
      <c r="AW15" s="2">
        <v>1980</v>
      </c>
      <c r="AX15" s="2">
        <v>1984</v>
      </c>
      <c r="AY15" s="2">
        <v>1322</v>
      </c>
      <c r="AZ15" s="2">
        <v>1329</v>
      </c>
      <c r="BA15" s="2">
        <v>927</v>
      </c>
      <c r="BB15" s="2">
        <v>1333</v>
      </c>
      <c r="BC15" s="2">
        <v>792</v>
      </c>
      <c r="BD15" s="2">
        <v>1748</v>
      </c>
      <c r="BE15" s="2">
        <v>1109</v>
      </c>
      <c r="BF15" s="2">
        <v>1078</v>
      </c>
      <c r="BG15" s="2">
        <v>832</v>
      </c>
      <c r="BH15" s="2">
        <v>11458</v>
      </c>
      <c r="BI15" s="2">
        <v>7776</v>
      </c>
      <c r="BJ15" s="2"/>
      <c r="BL15" s="20" t="s">
        <v>51</v>
      </c>
      <c r="BM15" s="25">
        <f t="shared" si="9"/>
        <v>538.28571428571433</v>
      </c>
      <c r="BN15" s="25">
        <f t="shared" si="10"/>
        <v>108.14285714285714</v>
      </c>
      <c r="BO15" s="25">
        <f t="shared" si="11"/>
        <v>98.714285714285708</v>
      </c>
      <c r="BP15" s="25">
        <f t="shared" si="12"/>
        <v>58.571428571428569</v>
      </c>
      <c r="BQ15" s="25">
        <f t="shared" si="13"/>
        <v>82</v>
      </c>
      <c r="BR15" s="25">
        <f t="shared" si="14"/>
        <v>46.285714285714285</v>
      </c>
      <c r="BS15" s="25">
        <f t="shared" si="15"/>
        <v>67.571428571428569</v>
      </c>
      <c r="BT15" s="25">
        <f t="shared" si="0"/>
        <v>77</v>
      </c>
    </row>
    <row r="16" spans="1:72" x14ac:dyDescent="0.35">
      <c r="A16" s="3"/>
      <c r="B16" s="19">
        <v>11</v>
      </c>
      <c r="C16" s="2">
        <v>11439</v>
      </c>
      <c r="D16" s="2">
        <v>7573</v>
      </c>
      <c r="E16" s="3">
        <f t="shared" si="16"/>
        <v>0.66203339452749366</v>
      </c>
      <c r="G16" s="28"/>
      <c r="H16" s="19" t="s">
        <v>46</v>
      </c>
      <c r="I16" s="2">
        <v>1278</v>
      </c>
      <c r="J16" s="2">
        <v>889</v>
      </c>
      <c r="K16" s="2">
        <v>2741</v>
      </c>
      <c r="L16" s="2">
        <v>1941</v>
      </c>
      <c r="M16" s="2">
        <v>2031</v>
      </c>
      <c r="N16" s="2">
        <v>1370</v>
      </c>
      <c r="O16" s="2">
        <v>1304</v>
      </c>
      <c r="P16" s="2">
        <v>895</v>
      </c>
      <c r="Q16" s="2">
        <v>1322</v>
      </c>
      <c r="R16" s="2">
        <v>821</v>
      </c>
      <c r="S16" s="2">
        <v>1776</v>
      </c>
      <c r="T16" s="2">
        <v>1141</v>
      </c>
      <c r="U16" s="2">
        <v>1078</v>
      </c>
      <c r="V16" s="2">
        <v>779</v>
      </c>
      <c r="W16" s="2">
        <v>11530</v>
      </c>
      <c r="X16" s="2">
        <v>7836</v>
      </c>
      <c r="Y16" s="2"/>
      <c r="Z16" s="28"/>
      <c r="AA16" s="20" t="s">
        <v>52</v>
      </c>
      <c r="AB16" s="28">
        <f t="shared" si="1"/>
        <v>0.66203339452749366</v>
      </c>
      <c r="AC16" s="28">
        <f t="shared" si="2"/>
        <v>0.70755064456721917</v>
      </c>
      <c r="AD16" s="28">
        <f t="shared" si="3"/>
        <v>0.64593535749265429</v>
      </c>
      <c r="AE16" s="28">
        <f t="shared" si="4"/>
        <v>0.68679245283018864</v>
      </c>
      <c r="AF16" s="28">
        <f t="shared" si="5"/>
        <v>0.63300634737449513</v>
      </c>
      <c r="AG16" s="28">
        <f t="shared" si="6"/>
        <v>0.68274582560296848</v>
      </c>
      <c r="AH16" s="28">
        <f t="shared" si="7"/>
        <v>0.64834276475343577</v>
      </c>
      <c r="AI16" s="28">
        <f t="shared" si="8"/>
        <v>0.60198624904507259</v>
      </c>
      <c r="AJ16" s="28"/>
      <c r="AK16" s="28"/>
      <c r="AL16" s="20"/>
      <c r="AM16" s="19">
        <v>11</v>
      </c>
      <c r="AN16" s="2">
        <v>11439</v>
      </c>
      <c r="AO16" s="2">
        <v>7573</v>
      </c>
      <c r="AP16" s="20">
        <f t="shared" si="17"/>
        <v>552.28571428571433</v>
      </c>
      <c r="AQ16" s="20"/>
      <c r="AS16" s="19" t="s">
        <v>46</v>
      </c>
      <c r="AT16" s="2">
        <v>1278</v>
      </c>
      <c r="AU16" s="2">
        <v>889</v>
      </c>
      <c r="AV16" s="2">
        <v>2741</v>
      </c>
      <c r="AW16" s="2">
        <v>1941</v>
      </c>
      <c r="AX16" s="2">
        <v>2031</v>
      </c>
      <c r="AY16" s="2">
        <v>1370</v>
      </c>
      <c r="AZ16" s="2">
        <v>1304</v>
      </c>
      <c r="BA16" s="2">
        <v>895</v>
      </c>
      <c r="BB16" s="2">
        <v>1322</v>
      </c>
      <c r="BC16" s="2">
        <v>821</v>
      </c>
      <c r="BD16" s="2">
        <v>1776</v>
      </c>
      <c r="BE16" s="2">
        <v>1141</v>
      </c>
      <c r="BF16" s="2">
        <v>1078</v>
      </c>
      <c r="BG16" s="2">
        <v>779</v>
      </c>
      <c r="BH16" s="2">
        <v>11530</v>
      </c>
      <c r="BI16" s="2">
        <v>7836</v>
      </c>
      <c r="BJ16" s="2"/>
      <c r="BL16" s="20" t="s">
        <v>52</v>
      </c>
      <c r="BM16" s="25">
        <f t="shared" si="9"/>
        <v>552.28571428571433</v>
      </c>
      <c r="BN16" s="25">
        <f t="shared" si="10"/>
        <v>113.42857142857143</v>
      </c>
      <c r="BO16" s="25">
        <f t="shared" si="11"/>
        <v>103.28571428571429</v>
      </c>
      <c r="BP16" s="25">
        <f t="shared" si="12"/>
        <v>59.285714285714285</v>
      </c>
      <c r="BQ16" s="25">
        <f t="shared" si="13"/>
        <v>90.857142857142861</v>
      </c>
      <c r="BR16" s="25">
        <f t="shared" si="14"/>
        <v>48.857142857142854</v>
      </c>
      <c r="BS16" s="25">
        <f t="shared" si="15"/>
        <v>62.142857142857146</v>
      </c>
      <c r="BT16" s="25">
        <f t="shared" si="0"/>
        <v>74.428571428571431</v>
      </c>
    </row>
    <row r="17" spans="1:72" x14ac:dyDescent="0.35">
      <c r="A17" s="3"/>
      <c r="B17" s="19">
        <v>12</v>
      </c>
      <c r="C17" s="2">
        <v>11539</v>
      </c>
      <c r="D17" s="2">
        <v>7738</v>
      </c>
      <c r="E17" s="3">
        <f t="shared" si="16"/>
        <v>0.67059537221596321</v>
      </c>
      <c r="G17" s="28"/>
      <c r="H17" s="19" t="s">
        <v>47</v>
      </c>
      <c r="I17" s="2">
        <v>1241</v>
      </c>
      <c r="J17" s="2">
        <v>793</v>
      </c>
      <c r="K17" s="2">
        <v>2727</v>
      </c>
      <c r="L17" s="2">
        <v>1939</v>
      </c>
      <c r="M17" s="2">
        <v>2052</v>
      </c>
      <c r="N17" s="2">
        <v>1426</v>
      </c>
      <c r="O17" s="2">
        <v>1315</v>
      </c>
      <c r="P17" s="2">
        <v>939</v>
      </c>
      <c r="Q17" s="2">
        <v>1323</v>
      </c>
      <c r="R17" s="2">
        <v>821</v>
      </c>
      <c r="S17" s="2">
        <v>1783</v>
      </c>
      <c r="T17" s="2">
        <v>1305</v>
      </c>
      <c r="U17" s="2">
        <v>1079</v>
      </c>
      <c r="V17" s="2">
        <v>793</v>
      </c>
      <c r="W17" s="2">
        <v>11520</v>
      </c>
      <c r="X17" s="2">
        <v>8016</v>
      </c>
      <c r="Y17" s="2"/>
      <c r="Z17" s="28"/>
      <c r="AA17" s="20" t="s">
        <v>53</v>
      </c>
      <c r="AB17" s="28">
        <f t="shared" si="1"/>
        <v>0.67059537221596321</v>
      </c>
      <c r="AC17" s="28">
        <f t="shared" si="2"/>
        <v>0.71789242590559821</v>
      </c>
      <c r="AD17" s="28">
        <f t="shared" si="3"/>
        <v>0.66846229187071493</v>
      </c>
      <c r="AE17" s="28">
        <f t="shared" si="4"/>
        <v>0.67817781043350478</v>
      </c>
      <c r="AF17" s="28">
        <f t="shared" si="5"/>
        <v>0.6560509554140127</v>
      </c>
      <c r="AG17" s="28">
        <f t="shared" si="6"/>
        <v>0.68860055607043558</v>
      </c>
      <c r="AH17" s="28">
        <f t="shared" si="7"/>
        <v>0.64395782643957822</v>
      </c>
      <c r="AI17" s="28">
        <f t="shared" si="8"/>
        <v>0.59970674486803521</v>
      </c>
      <c r="AJ17" s="28"/>
      <c r="AK17" s="28"/>
      <c r="AL17" s="20"/>
      <c r="AM17" s="19">
        <v>12</v>
      </c>
      <c r="AN17" s="2">
        <v>11539</v>
      </c>
      <c r="AO17" s="2">
        <v>7738</v>
      </c>
      <c r="AP17" s="20">
        <f t="shared" si="17"/>
        <v>543</v>
      </c>
      <c r="AQ17" s="20"/>
      <c r="AS17" s="19" t="s">
        <v>47</v>
      </c>
      <c r="AT17" s="2">
        <v>1241</v>
      </c>
      <c r="AU17" s="2">
        <v>793</v>
      </c>
      <c r="AV17" s="2">
        <v>2727</v>
      </c>
      <c r="AW17" s="2">
        <v>1939</v>
      </c>
      <c r="AX17" s="2">
        <v>2052</v>
      </c>
      <c r="AY17" s="2">
        <v>1426</v>
      </c>
      <c r="AZ17" s="2">
        <v>1315</v>
      </c>
      <c r="BA17" s="2">
        <v>939</v>
      </c>
      <c r="BB17" s="2">
        <v>1323</v>
      </c>
      <c r="BC17" s="2">
        <v>821</v>
      </c>
      <c r="BD17" s="2">
        <v>1783</v>
      </c>
      <c r="BE17" s="2">
        <v>1305</v>
      </c>
      <c r="BF17" s="2">
        <v>1079</v>
      </c>
      <c r="BG17" s="2">
        <v>793</v>
      </c>
      <c r="BH17" s="2">
        <v>11520</v>
      </c>
      <c r="BI17" s="2">
        <v>8016</v>
      </c>
      <c r="BJ17" s="2"/>
      <c r="BL17" s="20" t="s">
        <v>53</v>
      </c>
      <c r="BM17" s="25">
        <f t="shared" si="9"/>
        <v>543</v>
      </c>
      <c r="BN17" s="25">
        <f t="shared" si="10"/>
        <v>110.14285714285714</v>
      </c>
      <c r="BO17" s="25">
        <f t="shared" si="11"/>
        <v>96.714285714285708</v>
      </c>
      <c r="BP17" s="25">
        <f t="shared" si="12"/>
        <v>62.571428571428569</v>
      </c>
      <c r="BQ17" s="25">
        <f t="shared" si="13"/>
        <v>84.857142857142861</v>
      </c>
      <c r="BR17" s="25">
        <f t="shared" si="14"/>
        <v>48</v>
      </c>
      <c r="BS17" s="25">
        <f t="shared" si="15"/>
        <v>62.714285714285715</v>
      </c>
      <c r="BT17" s="25">
        <f t="shared" si="0"/>
        <v>78</v>
      </c>
    </row>
    <row r="18" spans="1:72" x14ac:dyDescent="0.35">
      <c r="A18" s="3"/>
      <c r="B18" s="19">
        <v>13</v>
      </c>
      <c r="C18" s="2">
        <v>11542</v>
      </c>
      <c r="D18" s="2">
        <v>7698</v>
      </c>
      <c r="E18" s="3">
        <f t="shared" si="16"/>
        <v>0.66695546699012298</v>
      </c>
      <c r="G18" s="28"/>
      <c r="H18" s="19" t="s">
        <v>48</v>
      </c>
      <c r="I18" s="2">
        <v>1260</v>
      </c>
      <c r="J18" s="2">
        <v>805</v>
      </c>
      <c r="K18" s="2">
        <v>2736</v>
      </c>
      <c r="L18" s="2">
        <v>1970</v>
      </c>
      <c r="M18" s="2">
        <v>2033</v>
      </c>
      <c r="N18" s="2">
        <v>1401</v>
      </c>
      <c r="O18" s="2">
        <v>1352</v>
      </c>
      <c r="P18" s="2">
        <v>971</v>
      </c>
      <c r="Q18" s="2">
        <v>1327</v>
      </c>
      <c r="R18" s="2">
        <v>806</v>
      </c>
      <c r="S18" s="2">
        <v>1756</v>
      </c>
      <c r="T18" s="2">
        <v>1260</v>
      </c>
      <c r="U18" s="2">
        <v>1078</v>
      </c>
      <c r="V18" s="2">
        <v>783</v>
      </c>
      <c r="W18" s="2">
        <v>11542</v>
      </c>
      <c r="X18" s="2">
        <v>7996</v>
      </c>
      <c r="Y18" s="2"/>
      <c r="Z18" s="28"/>
      <c r="AA18" s="20" t="s">
        <v>54</v>
      </c>
      <c r="AB18" s="28">
        <f t="shared" si="1"/>
        <v>0.66695546699012298</v>
      </c>
      <c r="AC18" s="28">
        <f t="shared" si="2"/>
        <v>0.70549450549450554</v>
      </c>
      <c r="AD18" s="28">
        <f t="shared" si="3"/>
        <v>0.65824015556635873</v>
      </c>
      <c r="AE18" s="28">
        <f t="shared" si="4"/>
        <v>0.66296296296296298</v>
      </c>
      <c r="AF18" s="28">
        <f t="shared" si="5"/>
        <v>0.67225433526011558</v>
      </c>
      <c r="AG18" s="28">
        <f t="shared" si="6"/>
        <v>0.70037105751391471</v>
      </c>
      <c r="AH18" s="28">
        <f t="shared" si="7"/>
        <v>0.65150284321689678</v>
      </c>
      <c r="AI18" s="28">
        <f t="shared" si="8"/>
        <v>0.58784773060029283</v>
      </c>
      <c r="AJ18" s="28"/>
      <c r="AK18" s="28"/>
      <c r="AL18" s="20"/>
      <c r="AM18" s="19">
        <v>13</v>
      </c>
      <c r="AN18" s="2">
        <v>11542</v>
      </c>
      <c r="AO18" s="2">
        <v>7698</v>
      </c>
      <c r="AP18" s="20">
        <f t="shared" si="17"/>
        <v>549.14285714285711</v>
      </c>
      <c r="AQ18" s="20"/>
      <c r="AS18" s="19" t="s">
        <v>48</v>
      </c>
      <c r="AT18" s="2">
        <v>1260</v>
      </c>
      <c r="AU18" s="2">
        <v>805</v>
      </c>
      <c r="AV18" s="2">
        <v>2736</v>
      </c>
      <c r="AW18" s="2">
        <v>1970</v>
      </c>
      <c r="AX18" s="2">
        <v>2033</v>
      </c>
      <c r="AY18" s="2">
        <v>1401</v>
      </c>
      <c r="AZ18" s="2">
        <v>1352</v>
      </c>
      <c r="BA18" s="2">
        <v>971</v>
      </c>
      <c r="BB18" s="2">
        <v>1327</v>
      </c>
      <c r="BC18" s="2">
        <v>806</v>
      </c>
      <c r="BD18" s="2">
        <v>1756</v>
      </c>
      <c r="BE18" s="2">
        <v>1260</v>
      </c>
      <c r="BF18" s="2">
        <v>1078</v>
      </c>
      <c r="BG18" s="2">
        <v>783</v>
      </c>
      <c r="BH18" s="2">
        <v>11542</v>
      </c>
      <c r="BI18" s="2">
        <v>7996</v>
      </c>
      <c r="BJ18" s="2"/>
      <c r="BL18" s="20" t="s">
        <v>54</v>
      </c>
      <c r="BM18" s="25">
        <f t="shared" si="9"/>
        <v>549.14285714285711</v>
      </c>
      <c r="BN18" s="25">
        <f t="shared" si="10"/>
        <v>114.85714285714286</v>
      </c>
      <c r="BO18" s="25">
        <f t="shared" si="11"/>
        <v>100.42857142857143</v>
      </c>
      <c r="BP18" s="25">
        <f t="shared" si="12"/>
        <v>65</v>
      </c>
      <c r="BQ18" s="25">
        <f t="shared" si="13"/>
        <v>81</v>
      </c>
      <c r="BR18" s="25">
        <f t="shared" si="14"/>
        <v>46.142857142857146</v>
      </c>
      <c r="BS18" s="25">
        <f t="shared" si="15"/>
        <v>61.285714285714285</v>
      </c>
      <c r="BT18" s="25">
        <f t="shared" si="0"/>
        <v>80.428571428571431</v>
      </c>
    </row>
    <row r="19" spans="1:72" x14ac:dyDescent="0.35">
      <c r="A19" s="3"/>
      <c r="E19" s="3" t="e">
        <f t="shared" si="16"/>
        <v>#DIV/0!</v>
      </c>
      <c r="G19" s="28"/>
      <c r="H19" s="19" t="s">
        <v>49</v>
      </c>
      <c r="I19" s="2">
        <v>1241</v>
      </c>
      <c r="J19" s="2">
        <v>819</v>
      </c>
      <c r="K19" s="2">
        <v>2736</v>
      </c>
      <c r="L19" s="2">
        <v>1989</v>
      </c>
      <c r="M19" s="2">
        <v>2033</v>
      </c>
      <c r="N19" s="2">
        <v>1410</v>
      </c>
      <c r="O19" s="2">
        <v>1377</v>
      </c>
      <c r="P19" s="2">
        <v>976</v>
      </c>
      <c r="Q19" s="2">
        <v>1327</v>
      </c>
      <c r="R19" s="2">
        <v>819</v>
      </c>
      <c r="S19" s="2">
        <v>1771</v>
      </c>
      <c r="T19" s="2">
        <v>1279</v>
      </c>
      <c r="U19" s="2">
        <v>1080</v>
      </c>
      <c r="V19" s="2">
        <v>810</v>
      </c>
      <c r="W19" s="2">
        <v>11565</v>
      </c>
      <c r="X19" s="2">
        <v>8102</v>
      </c>
      <c r="Y19" s="2"/>
      <c r="Z19" s="28"/>
      <c r="AA19" s="20"/>
      <c r="AB19" s="28"/>
      <c r="AC19" s="28"/>
      <c r="AD19" s="28"/>
      <c r="AE19" s="28"/>
      <c r="AF19" s="28"/>
      <c r="AG19" s="28"/>
      <c r="AH19" s="28"/>
      <c r="AI19" s="28"/>
      <c r="AJ19" s="28"/>
      <c r="AK19" s="28"/>
      <c r="AL19" s="20"/>
      <c r="AP19" s="20">
        <f t="shared" si="17"/>
        <v>0</v>
      </c>
      <c r="AQ19" s="20"/>
      <c r="AS19" s="19" t="s">
        <v>49</v>
      </c>
      <c r="AT19" s="2">
        <v>1241</v>
      </c>
      <c r="AU19" s="2">
        <v>819</v>
      </c>
      <c r="AV19" s="2">
        <v>2736</v>
      </c>
      <c r="AW19" s="2">
        <v>1989</v>
      </c>
      <c r="AX19" s="2">
        <v>2033</v>
      </c>
      <c r="AY19" s="2">
        <v>1410</v>
      </c>
      <c r="AZ19" s="2">
        <v>1377</v>
      </c>
      <c r="BA19" s="2">
        <v>976</v>
      </c>
      <c r="BB19" s="2">
        <v>1327</v>
      </c>
      <c r="BC19" s="2">
        <v>819</v>
      </c>
      <c r="BD19" s="2">
        <v>1771</v>
      </c>
      <c r="BE19" s="2">
        <v>1279</v>
      </c>
      <c r="BF19" s="2">
        <v>1080</v>
      </c>
      <c r="BG19" s="2">
        <v>810</v>
      </c>
      <c r="BH19" s="2">
        <v>11565</v>
      </c>
      <c r="BI19" s="2">
        <v>8102</v>
      </c>
      <c r="BJ19" s="2"/>
      <c r="BL19" s="20"/>
      <c r="BM19" s="25"/>
      <c r="BN19" s="25"/>
      <c r="BO19" s="25"/>
      <c r="BP19" s="25"/>
      <c r="BQ19" s="25"/>
      <c r="BR19" s="25"/>
      <c r="BS19" s="26"/>
    </row>
    <row r="20" spans="1:72" x14ac:dyDescent="0.35">
      <c r="A20" s="3"/>
      <c r="E20" s="3" t="e">
        <f t="shared" si="16"/>
        <v>#DIV/0!</v>
      </c>
      <c r="H20" s="19" t="s">
        <v>50</v>
      </c>
      <c r="I20" s="2">
        <v>1251</v>
      </c>
      <c r="J20" s="2">
        <v>813</v>
      </c>
      <c r="K20" s="2">
        <v>2735</v>
      </c>
      <c r="L20" s="2">
        <v>1918</v>
      </c>
      <c r="M20" s="2">
        <v>2053</v>
      </c>
      <c r="N20" s="2">
        <v>1442</v>
      </c>
      <c r="O20" s="2">
        <v>1389</v>
      </c>
      <c r="P20" s="2">
        <v>1011</v>
      </c>
      <c r="Q20" s="2">
        <v>1318</v>
      </c>
      <c r="R20" s="2">
        <v>822</v>
      </c>
      <c r="S20" s="2">
        <v>1791</v>
      </c>
      <c r="T20" s="2">
        <v>1349</v>
      </c>
      <c r="U20" s="2">
        <v>1078</v>
      </c>
      <c r="V20" s="2">
        <v>836</v>
      </c>
      <c r="W20" s="2">
        <v>11615</v>
      </c>
      <c r="X20" s="2">
        <v>8191</v>
      </c>
      <c r="Y20" s="2"/>
      <c r="AL20" s="20"/>
      <c r="AP20" s="20">
        <f t="shared" si="17"/>
        <v>0</v>
      </c>
      <c r="AQ20" s="20"/>
      <c r="AS20" s="19" t="s">
        <v>50</v>
      </c>
      <c r="AT20" s="2">
        <v>1251</v>
      </c>
      <c r="AU20" s="2">
        <v>813</v>
      </c>
      <c r="AV20" s="2">
        <v>2735</v>
      </c>
      <c r="AW20" s="2">
        <v>1918</v>
      </c>
      <c r="AX20" s="2">
        <v>2053</v>
      </c>
      <c r="AY20" s="2">
        <v>1442</v>
      </c>
      <c r="AZ20" s="2">
        <v>1389</v>
      </c>
      <c r="BA20" s="2">
        <v>1011</v>
      </c>
      <c r="BB20" s="2">
        <v>1318</v>
      </c>
      <c r="BC20" s="2">
        <v>822</v>
      </c>
      <c r="BD20" s="2">
        <v>1791</v>
      </c>
      <c r="BE20" s="2">
        <v>1349</v>
      </c>
      <c r="BF20" s="2">
        <v>1078</v>
      </c>
      <c r="BG20" s="2">
        <v>836</v>
      </c>
      <c r="BH20" s="2">
        <v>11615</v>
      </c>
      <c r="BI20" s="2">
        <v>8191</v>
      </c>
      <c r="BJ20" s="2"/>
    </row>
    <row r="21" spans="1:72" x14ac:dyDescent="0.35">
      <c r="H21" s="19" t="s">
        <v>38</v>
      </c>
      <c r="I21" s="2">
        <v>16177</v>
      </c>
      <c r="J21" s="2">
        <v>10405</v>
      </c>
      <c r="K21" s="2">
        <v>35518</v>
      </c>
      <c r="L21" s="2">
        <v>25661</v>
      </c>
      <c r="M21" s="2">
        <v>26389</v>
      </c>
      <c r="N21" s="2">
        <v>17919</v>
      </c>
      <c r="O21" s="2">
        <v>17496</v>
      </c>
      <c r="P21" s="2">
        <v>12377</v>
      </c>
      <c r="Q21" s="2">
        <v>17274</v>
      </c>
      <c r="R21" s="2">
        <v>10726</v>
      </c>
      <c r="S21" s="2">
        <v>22861</v>
      </c>
      <c r="T21" s="2">
        <v>15596</v>
      </c>
      <c r="U21" s="2">
        <v>14020</v>
      </c>
      <c r="V21" s="2">
        <v>10288</v>
      </c>
      <c r="W21" s="2">
        <v>149735</v>
      </c>
      <c r="X21" s="2">
        <v>102972</v>
      </c>
      <c r="Y21" s="2"/>
      <c r="AS21" s="19" t="s">
        <v>38</v>
      </c>
      <c r="AT21" s="2">
        <v>16177</v>
      </c>
      <c r="AU21" s="2">
        <v>10405</v>
      </c>
      <c r="AV21" s="2">
        <v>35518</v>
      </c>
      <c r="AW21" s="2">
        <v>25661</v>
      </c>
      <c r="AX21" s="2">
        <v>26389</v>
      </c>
      <c r="AY21" s="2">
        <v>17919</v>
      </c>
      <c r="AZ21" s="2">
        <v>17496</v>
      </c>
      <c r="BA21" s="2">
        <v>12377</v>
      </c>
      <c r="BB21" s="2">
        <v>17274</v>
      </c>
      <c r="BC21" s="2">
        <v>10726</v>
      </c>
      <c r="BD21" s="2">
        <v>22861</v>
      </c>
      <c r="BE21" s="2">
        <v>15596</v>
      </c>
      <c r="BF21" s="2">
        <v>14020</v>
      </c>
      <c r="BG21" s="2">
        <v>10288</v>
      </c>
      <c r="BH21" s="2">
        <v>149735</v>
      </c>
      <c r="BI21" s="2">
        <v>102972</v>
      </c>
      <c r="BJ21" s="2"/>
    </row>
  </sheetData>
  <mergeCells count="2">
    <mergeCell ref="AS1:BS1"/>
    <mergeCell ref="H1:AH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4 c 6 a 3 1 b - 3 4 7 2 - 4 b 1 b - a 7 6 c - e a e 1 d 3 5 7 c 6 b c " > < C u s t o m C o n t e n t > < ! [ C D A T A [ < ? x m l   v e r s i o n = " 1 . 0 "   e n c o d i n g = " u t f - 1 6 " ? > < S e t t i n g s > < C a l c u l a t e d F i e l d s > < i t e m > < M e a s u r e N a m e > S u m   o f   B e d s   o c c   o v e r   1 4   d a y s   2 < / M e a s u r e N a m e > < D i s p l a y N a m e > S u m   o f   B e d s   o c c   o v e r   1 4   d a y s   2 < / D i s p l a y N a m e > < V i s i b l e > T r u e < / V i s i b l e > < / i t e m > < / C a l c u l a t e d F i e l d s > < H S l i c e r s S h a p e > 0 ; 0 ; 0 ; 0 < / H S l i c e r s S h a p e > < V S l i c e r s S h a p e > 0 ; 0 ; 0 ; 0 < / V S l i c e r s S h a p e > < S l i c e r S h e e t N a m e > S h e e t 4 < / S l i c e r S h e e t N a m e > < S A H o s t H a s h > 1 2 5 6 9 5 6 3 5 < / S A H o s t H a s h > < G e m i n i F i e l d L i s t V i s i b l e > F a l s e < / G e m i n i F i e l d L i s t V i s i b l e > < / S e t t i n g s > ] ] > < / C u s t o m C o n t e n t > < / G e m i n i > 
</file>

<file path=customXml/item10.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 1 8 9 6 1 1 5 6 5 9 < / S A H o s t H a s h > < G e m i n i F i e l d L i s t V i s i b l e > T r u e < / G e m i n i F i e l d L i s t V i s i b l e > < / S e t t i n g s > ] ] > < / C u s t o m C o n t e n t > < / G e m i n i > 
</file>

<file path=customXml/item11.xml><?xml version="1.0" encoding="utf-8"?>
<ct:contentTypeSchema xmlns:ct="http://schemas.microsoft.com/office/2006/metadata/contentType" xmlns:ma="http://schemas.microsoft.com/office/2006/metadata/properties/metaAttributes" ct:_="" ma:_="" ma:contentTypeName="Document" ma:contentTypeID="0x01010036361F09B21A804F824D0804817B9451" ma:contentTypeVersion="12" ma:contentTypeDescription="Create a new document." ma:contentTypeScope="" ma:versionID="09a43a183cdc964e00f5fa75e4850ef2">
  <xsd:schema xmlns:xsd="http://www.w3.org/2001/XMLSchema" xmlns:xs="http://www.w3.org/2001/XMLSchema" xmlns:p="http://schemas.microsoft.com/office/2006/metadata/properties" xmlns:ns2="47dd78af-cfc5-4e7a-8799-591ad7ced2cf" xmlns:ns3="91879da0-9969-4788-bbb1-7f1899c198fe" targetNamespace="http://schemas.microsoft.com/office/2006/metadata/properties" ma:root="true" ma:fieldsID="ebee05a5f1fbf61f58deb049bc0dda4c" ns2:_="" ns3:_="">
    <xsd:import namespace="47dd78af-cfc5-4e7a-8799-591ad7ced2cf"/>
    <xsd:import namespace="91879da0-9969-4788-bbb1-7f1899c198f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d78af-cfc5-4e7a-8799-591ad7ced2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1879da0-9969-4788-bbb1-7f1899c198f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13.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14.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15.xml>��< ? x m l   v e r s i o n = " 1 . 0 "   e n c o d i n g = " U T F - 1 6 " ? > < G e m i n i   x m l n s = " h t t p : / / g e m i n i / p i v o t c u s t o m i z a t i o n / 3 5 8 d a d 6 1 - f a 7 1 - 4 4 e 8 - 8 3 5 4 - 3 5 e a 4 1 b 2 9 d 4 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 5 1 9 1 5 9 9 4 0 < / S A H o s t H a s h > < G e m i n i F i e l d L i s t V i s i b l e > T r u e < / G e m i n i F i e l d L i s t V i s i b l e > < / S e t t i n g s > ] ] > < / C u s t o m C o n t e n t > < / G e m i n i > 
</file>

<file path=customXml/item16.xml>��< ? x m l   v e r s i o n = " 1 . 0 "   e n c o d i n g = " U T F - 1 6 " ? > < G e m i n i   x m l n s = " h t t p : / / g e m i n i / p i v o t c u s t o m i z a t i o n / T a b l e X M L _ W i n t e r   d a i l y   s i t r e p s _ 1 d f 8 1 2 b b - 9 f c 3 - 4 6 7 4 - 8 d 4 1 - 6 0 c 6 7 2 6 a 8 e f 3 " > < C u s t o m C o n t e n t > < ! [ C D A T A [ < T a b l e W i d g e t G r i d S e r i a l i z a t i o n   x m l n s : x s d = " h t t p : / / w w w . w 3 . o r g / 2 0 0 1 / X M L S c h e m a "   x m l n s : x s i = " h t t p : / / w w w . w 3 . o r g / 2 0 0 1 / X M L S c h e m a - i n s t a n c e " > < C o l u m n S u g g e s t e d T y p e > < i t e m > < k e y > < s t r i n g > D a t e < / s t r i n g > < / k e y > < v a l u e > < s t r i n g > E m p t y < / s t r i n g > < / v a l u e > < / i t e m > < / C o l u m n S u g g e s t e d T y p e > < C o l u m n F o r m a t   / > < C o l u m n A c c u r a c y   / > < C o l u m n C u r r e n c y S y m b o l   / > < C o l u m n P o s i t i v e P a t t e r n   / > < C o l u m n N e g a t i v e P a t t e r n   / > < C o l u m n W i d t h s > < i t e m > < k e y > < s t r i n g > I D < / s t r i n g > < / k e y > < v a l u e > < i n t > 5 4 < / i n t > < / v a l u e > < / i t e m > < i t e m > < k e y > < s t r i n g > c r i _ i d < / s t r i n g > < / k e y > < v a l u e > < i n t > 7 5 < / i n t > < / v a l u e > < / i t e m > < i t e m > < k e y > < s t r i n g > d r _ i d < / s t r i n g > < / k e y > < v a l u e > < i n t > 7 3 < / i n t > < / v a l u e > < / i t e m > < i t e m > < k e y > < s t r i n g > o r g _ i d < / s t r i n g > < / k e y > < v a l u e > < i n t > 8 0 < / i n t > < / v a l u e > < / i t e m > < i t e m > < k e y > < s t r i n g > c r i _ d a t a p e r i o d s t a r t < / s t r i n g > < / k e y > < v a l u e > < i n t > 1 5 9 < / i n t > < / v a l u e > < / i t e m > < i t e m > < k e y > < s t r i n g > C o d e < / s t r i n g > < / k e y > < v a l u e > < i n t > 7 3 < / i n t > < / v a l u e > < / i t e m > < i t e m > < k e y > < s t r i n g > N a m e < / s t r i n g > < / k e y > < v a l u e > < i n t > 7 8 < / i n t > < / v a l u e > < / i t e m > < i t e m > < k e y > < s t r i n g > D a t e < / s t r i n g > < / k e y > < v a l u e > < i n t > 7 0 < / i n t > < / v a l u e > < / i t e m > < i t e m > < k e y > < s t r i n g > W e e k < / s t r i n g > < / k e y > < v a l u e > < i n t > 7 6 < / i n t > < / v a l u e > < / i t e m > < i t e m > < k e y > < s t r i n g > D a y < / s t r i n g > < / k e y > < v a l u e > < i n t > 6 4 < / i n t > < / v a l u e > < / i t e m > < i t e m > < k e y > < s t r i n g > B a n k   h o l i d a y < / s t r i n g > < / k e y > < v a l u e > < i n t > 1 2 0 < / i n t > < / v a l u e > < / i t e m > < i t e m > < k e y > < s t r i n g > A E   c l o s u r e s < / s t r i n g > < / k e y > < v a l u e > < i n t > 1 1 1 < / i n t > < / v a l u e > < / i t e m > < i t e m > < k e y > < s t r i n g > A E   d i v e r t s < / s t r i n g > < / k e y > < v a l u e > < i n t > 1 0 3 < / i n t > < / v a l u e > < / i t e m > < i t e m > < k e y > < s t r i n g > A E   t y p e   1   a t t e n d a n c e s < / s t r i n g > < / k e y > < v a l u e > < i n t > 1 7 7 < / i n t > < / v a l u e > < / i t e m > < i t e m > < k e y > < s t r i n g > A E   t y p e   2   a t t e n d a n c e s < / s t r i n g > < / k e y > < v a l u e > < i n t > 1 7 7 < / i n t > < / v a l u e > < / i t e m > < i t e m > < k e y > < s t r i n g > A E   t y p e   3   a t t e n d a n c e s < / s t r i n g > < / k e y > < v a l u e > < i n t > 1 7 7 < / i n t > < / v a l u e > < / i t e m > < i t e m > < k e y > < s t r i n g > A E   t o t a l   a t t e n d a n c e s < / s t r i n g > < / k e y > < v a l u e > < i n t > 1 6 8 < / i n t > < / v a l u e > < / i t e m > < i t e m > < k e y > < s t r i n g > E m e r g e n c y   a d m i s s i o n s < / s t r i n g > < / k e y > < v a l u e > < i n t > 1 8 1 < / i n t > < / v a l u e > < / i t e m > < i t e m > < k e y > < s t r i n g > G A   c o r e   b e d s   a v a i l < / s t r i n g > < / k e y > < v a l u e > < i n t > 1 5 4 < / i n t > < / v a l u e > < / i t e m > < i t e m > < k e y > < s t r i n g > G A   e s c a l a t i o n   b e d s   a v a i l < / s t r i n g > < / k e y > < v a l u e > < i n t > 1 8 9 < / i n t > < / v a l u e > < / i t e m > < i t e m > < k e y > < s t r i n g > G A   t o t a l   b e d s   a v a i l < / s t r i n g > < / k e y > < v a l u e > < i n t > 1 5 6 < / i n t > < / v a l u e > < / i t e m > < i t e m > < k e y > < s t r i n g > G A   t o t a l   b e d s   o c c u p i e d < / s t r i n g > < / k e y > < v a l u e > < i n t > 1 8 3 < / i n t > < / v a l u e > < / i t e m > < i t e m > < k e y > < s t r i n g > B e d s   c l o s e d   n o r o v i r u s < / s t r i n g > < / k e y > < v a l u e > < i n t > 1 7 6 < / i n t > < / v a l u e > < / i t e m > < i t e m > < k e y > < s t r i n g > B e d s   c l o s e d   n o r o v i u s   u n o c c < / s t r i n g > < / k e y > < v a l u e > < i n t > 2 1 0 < / i n t > < / v a l u e > < / i t e m > < i t e m > < k e y > < s t r i n g > A d u l t   C C   b e d s   a v a i l < / s t r i n g > < / k e y > < v a l u e > < i n t > 1 5 9 < / i n t > < / v a l u e > < / i t e m > < i t e m > < k e y > < s t r i n g > A d u l t   C C   b e d s   o c c < / s t r i n g > < / k e y > < v a l u e > < i n t > 1 5 0 < / i n t > < / v a l u e > < / i t e m > < i t e m > < k e y > < s t r i n g > P a e d   I n t   C a r e   A v a i l < / s t r i n g > < / k e y > < v a l u e > < i n t > 1 5 7 < / i n t > < / v a l u e > < / i t e m > < i t e m > < k e y > < s t r i n g > P a e d   I n t   C a r e   O c c < / s t r i n g > < / k e y > < v a l u e > < i n t > 1 4 8 < / i n t > < / v a l u e > < / i t e m > < i t e m > < k e y > < s t r i n g > N e o   I n t   C a r e   A v a i l < / s t r i n g > < / k e y > < v a l u e > < i n t > 1 5 2 < / i n t > < / v a l u e > < / i t e m > < i t e m > < k e y > < s t r i n g > N e o   I n t   C a r e   o c c < / s t r i n g > < / k e y > < v a l u e > < i n t > 1 4 1 < / i n t > < / v a l u e > < / i t e m > < i t e m > < k e y > < s t r i n g > O P E L   3   o r   a b o v e < / s t r i n g > < / k e y > < v a l u e > < i n t > 1 3 9 < / i n t > < / v a l u e > < / i t e m > < i t e m > < k e y > < s t r i n g > W e e k e n d < / s t r i n g > < / k e y > < v a l u e > < i n t > 1 0 0 < / i n t > < / v a l u e > < / i t e m > < i t e m > < k e y > < s t r i n g > R e g i o n < / s t r i n g > < / k e y > < v a l u e > < i n t > 8 4 < / i n t > < / v a l u e > < / i t e m > < i t e m > < k e y > < s t r i n g > Y e a r < / s t r i n g > < / k e y > < v a l u e > < i n t > 6 7 < / i n t > < / v a l u e > < / i t e m > < i t e m > < k e y > < s t r i n g > B e d s   o c c   o v e r   7   d a y s < / s t r i n g > < / k e y > < v a l u e > < i n t > 1 6 6 < / i n t > < / v a l u e > < / i t e m > < i t e m > < k e y > < s t r i n g > B e d s   o c c   o v e r   2 1   d a y s < / s t r i n g > < / k e y > < v a l u e > < i n t > 1 7 3 < / i n t > < / v a l u e > < / i t e m > < i t e m > < k e y > < s t r i n g > A m b   a r r i v a l s < / s t r i n g > < / k e y > < v a l u e > < i n t > 1 1 8 < / i n t > < / v a l u e > < / i t e m > < i t e m > < k e y > < s t r i n g > A m b   d e l a y s   3 0 - 6 0   m i n s < / s t r i n g > < / k e y > < v a l u e > < i n t > 1 8 2 < / i n t > < / v a l u e > < / i t e m > < i t e m > < k e y > < s t r i n g > A m b   d e l a y s   o v e r   6 0   m i n s < / s t r i n g > < / k e y > < v a l u e > < i n t > 1 9 4 < / i n t > < / v a l u e > < / i t e m > < i t e m > < k e y > < s t r i n g > W e e k   l o n g < / s t r i n g > < / k e y > < v a l u e > < i n t > 1 6 1 < / i n t > < / v a l u e > < / i t e m > < i t e m > < k e y > < s t r i n g > G A   b e d   o c c u p a n c y < / s t r i n g > < / k e y > < v a l u e > < i n t > 1 6 1 < / i n t > < / v a l u e > < / i t e m > < i t e m > < k e y > < s t r i n g > B e d s   o c c   o v e r   1 4   d a y s < / s t r i n g > < / k e y > < v a l u e > < i n t > 1 7 3 < / i n t > < / v a l u e > < / i t e m > < i t e m > < k e y > < s t r i n g > G A   f l u   b e d s < / s t r i n g > < / k e y > < v a l u e > < i n t > 1 5 4 < / i n t > < / v a l u e > < / i t e m > < i t e m > < k e y > < s t r i n g > C C   f l u   b e d s < / s t r i n g > < / k e y > < v a l u e > < i n t > 1 5 1 < / i n t > < / v a l u e > < / i t e m > < i t e m > < k e y > < s t r i n g > P a e d s   R S V   b e d s   c l o s e d < / s t r i n g > < / k e y > < v a l u e > < i n t > 2 5 4 < / i n t > < / v a l u e > < / i t e m > < i t e m > < k e y > < s t r i n g > P a e d s   R S V   b e d s   c l o s e d   u n o c c < / s t r i n g > < / k e y > < v a l u e > < i n t > 3 1 3 < / i n t > < / v a l u e > < / i t e m > < / C o l u m n W i d t h s > < C o l u m n D i s p l a y I n d e x > < i t e m > < k e y > < s t r i n g > I D < / s t r i n g > < / k e y > < v a l u e > < i n t > 0 < / i n t > < / v a l u e > < / i t e m > < i t e m > < k e y > < s t r i n g > c r i _ i d < / s t r i n g > < / k e y > < v a l u e > < i n t > 1 < / i n t > < / v a l u e > < / i t e m > < i t e m > < k e y > < s t r i n g > d r _ i d < / s t r i n g > < / k e y > < v a l u e > < i n t > 2 < / i n t > < / v a l u e > < / i t e m > < i t e m > < k e y > < s t r i n g > o r g _ i d < / s t r i n g > < / k e y > < v a l u e > < i n t > 3 < / i n t > < / v a l u e > < / i t e m > < i t e m > < k e y > < s t r i n g > c r i _ d a t a p e r i o d s t a r t < / s t r i n g > < / k e y > < v a l u e > < i n t > 4 < / i n t > < / v a l u e > < / i t e m > < i t e m > < k e y > < s t r i n g > C o d e < / s t r i n g > < / k e y > < v a l u e > < i n t > 5 < / i n t > < / v a l u e > < / i t e m > < i t e m > < k e y > < s t r i n g > N a m e < / s t r i n g > < / k e y > < v a l u e > < i n t > 6 < / i n t > < / v a l u e > < / i t e m > < i t e m > < k e y > < s t r i n g > D a t e < / s t r i n g > < / k e y > < v a l u e > < i n t > 7 < / i n t > < / v a l u e > < / i t e m > < i t e m > < k e y > < s t r i n g > W e e k < / s t r i n g > < / k e y > < v a l u e > < i n t > 8 < / i n t > < / v a l u e > < / i t e m > < i t e m > < k e y > < s t r i n g > D a y < / s t r i n g > < / k e y > < v a l u e > < i n t > 1 0 < / i n t > < / v a l u e > < / i t e m > < i t e m > < k e y > < s t r i n g > B a n k   h o l i d a y < / s t r i n g > < / k e y > < v a l u e > < i n t > 1 1 < / i n t > < / v a l u e > < / i t e m > < i t e m > < k e y > < s t r i n g > A E   c l o s u r e s < / s t r i n g > < / k e y > < v a l u e > < i n t > 1 2 < / i n t > < / v a l u e > < / i t e m > < i t e m > < k e y > < s t r i n g > A E   d i v e r t s < / s t r i n g > < / k e y > < v a l u e > < i n t > 1 3 < / i n t > < / v a l u e > < / i t e m > < i t e m > < k e y > < s t r i n g > A E   t y p e   1   a t t e n d a n c e s < / s t r i n g > < / k e y > < v a l u e > < i n t > 1 4 < / i n t > < / v a l u e > < / i t e m > < i t e m > < k e y > < s t r i n g > A E   t y p e   2   a t t e n d a n c e s < / s t r i n g > < / k e y > < v a l u e > < i n t > 1 5 < / i n t > < / v a l u e > < / i t e m > < i t e m > < k e y > < s t r i n g > A E   t y p e   3   a t t e n d a n c e s < / s t r i n g > < / k e y > < v a l u e > < i n t > 1 6 < / i n t > < / v a l u e > < / i t e m > < i t e m > < k e y > < s t r i n g > A E   t o t a l   a t t e n d a n c e s < / s t r i n g > < / k e y > < v a l u e > < i n t > 1 7 < / i n t > < / v a l u e > < / i t e m > < i t e m > < k e y > < s t r i n g > E m e r g e n c y   a d m i s s i o n s < / s t r i n g > < / k e y > < v a l u e > < i n t > 1 8 < / i n t > < / v a l u e > < / i t e m > < i t e m > < k e y > < s t r i n g > G A   c o r e   b e d s   a v a i l < / s t r i n g > < / k e y > < v a l u e > < i n t > 1 9 < / i n t > < / v a l u e > < / i t e m > < i t e m > < k e y > < s t r i n g > G A   e s c a l a t i o n   b e d s   a v a i l < / s t r i n g > < / k e y > < v a l u e > < i n t > 2 0 < / i n t > < / v a l u e > < / i t e m > < i t e m > < k e y > < s t r i n g > G A   t o t a l   b e d s   a v a i l < / s t r i n g > < / k e y > < v a l u e > < i n t > 2 1 < / i n t > < / v a l u e > < / i t e m > < i t e m > < k e y > < s t r i n g > G A   t o t a l   b e d s   o c c u p i e d < / s t r i n g > < / k e y > < v a l u e > < i n t > 2 2 < / i n t > < / v a l u e > < / i t e m > < i t e m > < k e y > < s t r i n g > B e d s   c l o s e d   n o r o v i r u s < / s t r i n g > < / k e y > < v a l u e > < i n t > 2 4 < / i n t > < / v a l u e > < / i t e m > < i t e m > < k e y > < s t r i n g > B e d s   c l o s e d   n o r o v i u s   u n o c c < / s t r i n g > < / k e y > < v a l u e > < i n t > 2 5 < / i n t > < / v a l u e > < / i t e m > < i t e m > < k e y > < s t r i n g > A d u l t   C C   b e d s   a v a i l < / s t r i n g > < / k e y > < v a l u e > < i n t > 2 6 < / i n t > < / v a l u e > < / i t e m > < i t e m > < k e y > < s t r i n g > A d u l t   C C   b e d s   o c c < / s t r i n g > < / k e y > < v a l u e > < i n t > 2 7 < / i n t > < / v a l u e > < / i t e m > < i t e m > < k e y > < s t r i n g > P a e d   I n t   C a r e   A v a i l < / s t r i n g > < / k e y > < v a l u e > < i n t > 2 8 < / i n t > < / v a l u e > < / i t e m > < i t e m > < k e y > < s t r i n g > P a e d   I n t   C a r e   O c c < / s t r i n g > < / k e y > < v a l u e > < i n t > 2 9 < / i n t > < / v a l u e > < / i t e m > < i t e m > < k e y > < s t r i n g > N e o   I n t   C a r e   A v a i l < / s t r i n g > < / k e y > < v a l u e > < i n t > 3 0 < / i n t > < / v a l u e > < / i t e m > < i t e m > < k e y > < s t r i n g > N e o   I n t   C a r e   o c c < / s t r i n g > < / k e y > < v a l u e > < i n t > 3 1 < / i n t > < / v a l u e > < / i t e m > < i t e m > < k e y > < s t r i n g > O P E L   3   o r   a b o v e < / s t r i n g > < / k e y > < v a l u e > < i n t > 3 2 < / i n t > < / v a l u e > < / i t e m > < i t e m > < k e y > < s t r i n g > W e e k e n d < / s t r i n g > < / k e y > < v a l u e > < i n t > 3 3 < / i n t > < / v a l u e > < / i t e m > < i t e m > < k e y > < s t r i n g > R e g i o n < / s t r i n g > < / k e y > < v a l u e > < i n t > 3 4 < / i n t > < / v a l u e > < / i t e m > < i t e m > < k e y > < s t r i n g > Y e a r < / s t r i n g > < / k e y > < v a l u e > < i n t > 3 5 < / i n t > < / v a l u e > < / i t e m > < i t e m > < k e y > < s t r i n g > B e d s   o c c   o v e r   7   d a y s < / s t r i n g > < / k e y > < v a l u e > < i n t > 3 6 < / i n t > < / v a l u e > < / i t e m > < i t e m > < k e y > < s t r i n g > B e d s   o c c   o v e r   2 1   d a y s < / s t r i n g > < / k e y > < v a l u e > < i n t > 3 7 < / i n t > < / v a l u e > < / i t e m > < i t e m > < k e y > < s t r i n g > A m b   a r r i v a l s < / s t r i n g > < / k e y > < v a l u e > < i n t > 3 8 < / i n t > < / v a l u e > < / i t e m > < i t e m > < k e y > < s t r i n g > A m b   d e l a y s   3 0 - 6 0   m i n s < / s t r i n g > < / k e y > < v a l u e > < i n t > 3 9 < / i n t > < / v a l u e > < / i t e m > < i t e m > < k e y > < s t r i n g > A m b   d e l a y s   o v e r   6 0   m i n s < / s t r i n g > < / k e y > < v a l u e > < i n t > 4 0 < / i n t > < / v a l u e > < / i t e m > < i t e m > < k e y > < s t r i n g > W e e k   l o n g < / s t r i n g > < / k e y > < v a l u e > < i n t > 9 < / i n t > < / v a l u e > < / i t e m > < i t e m > < k e y > < s t r i n g > G A   b e d   o c c u p a n c y < / s t r i n g > < / k e y > < v a l u e > < i n t > 2 3 < / i n t > < / v a l u e > < / i t e m > < i t e m > < k e y > < s t r i n g > B e d s   o c c   o v e r   1 4   d a y s < / s t r i n g > < / k e y > < v a l u e > < i n t > 4 1 < / i n t > < / v a l u e > < / i t e m > < i t e m > < k e y > < s t r i n g > G A   f l u   b e d s < / s t r i n g > < / k e y > < v a l u e > < i n t > 4 2 < / i n t > < / v a l u e > < / i t e m > < i t e m > < k e y > < s t r i n g > C C   f l u   b e d s < / s t r i n g > < / k e y > < v a l u e > < i n t > 4 3 < / i n t > < / v a l u e > < / i t e m > < i t e m > < k e y > < s t r i n g > P a e d s   R S V   b e d s   c l o s e d < / s t r i n g > < / k e y > < v a l u e > < i n t > 4 4 < / i n t > < / v a l u e > < / i t e m > < i t e m > < k e y > < s t r i n g > P a e d s   R S V   b e d s   c l o s e d   u n o c c < / s t r i n g > < / k e y > < v a l u e > < i n t > 4 5 < / i n t > < / v a l u e > < / i t e m > < / C o l u m n D i s p l a y I n d e x > < C o l u m n F r o z e n   / > < C o l u m n C h e c k e d   / > < C o l u m n F i l t e r   / > < S e l e c t i o n F i l t e r   / > < F i l t e r P a r a m e t e r s   / > < S o r t B y C o l u m n   / > < I s S o r t D e s c e n d i n g > f a l s e < / I s S o r t D e s c e n d i n g > < / T a b l e W i d g e t G r i d S e r i a l i z a t i o n > ] ] > < / C u s t o m C o n t e n t > < / G e m i n i > 
</file>

<file path=customXml/item17.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S A H o s t H a s h > 0 < / S A H o s t H a s h > < G e m i n i F i e l d L i s t V i s i b l e > T r u e < / G e m i n i F i e l d L i s t V i s i b l e > < / S e t t i n g s > ] ] > < / C u s t o m C o n t e n t > < / G e m i n i > 
</file>

<file path=customXml/item18.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 1 3 6 4 0 5 8 0 6 < / S A H o s t H a s h > < G e m i n i F i e l d L i s t V i s i b l e > F a l s e < / G e m i n i F i e l d L i s t V i s i b l e > < / S e t t i n g s > ] ] > < / C u s t o m C o n t e n t > < / G e m i n i > 
</file>

<file path=customXml/item19.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2.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S A H o s t H a s h > 0 < / S A H o s t H a s h > < G e m i n i F i e l d L i s t V i s i b l e > T r u e < / G e m i n i F i e l d L i s t V i s i b l e > < / S e t t i n g s > ] ] > < / C u s t o m C o n t e n t > < / G e m i n i > 
</file>

<file path=customXml/item20.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21.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 1 7 4 5 2 4 5 8 0 8 < / S A H o s t H a s h > < G e m i n i F i e l d L i s t V i s i b l e > F a l s e < / G e m i n i F i e l d L i s t V i s i b l e > < / S e t t i n g s > ] ] > < / C u s t o m C o n t e n t > < / G e m i n i > 
</file>

<file path=customXml/item22.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S A H o s t H a s h > 0 < / S A H o s t H a s h > < G e m i n i F i e l d L i s t V i s i b l e > T r u e < / G e m i n i F i e l d L i s t V i s i b l e > < / S e t t i n g s > ] ] > < / C u s t o m C o n t e n t > < / G e m i n i > 
</file>

<file path=customXml/item23.xml>��< ? x m l   v e r s i o n = " 1 . 0 "   e n c o d i n g = " u t f - 1 6 " ? > < D a t a M a s h u p   x m l n s = " h t t p : / / s c h e m a s . m i c r o s o f t . c o m / D a t a M a s h u p " > A A A A A B U D A A B Q S w M E F A A C A A g A c n g s V O 6 P B M u l A A A A 9 g A A A B I A H A B D b 2 5 m a W c v U G F j a 2 F n Z S 5 4 b W w g o h g A K K A U A A A A A A A A A A A A A A A A A A A A A A A A A A A A h Y 9 B C s I w F E S v U r J v k l Y R K b 8 p 6 M K N B U E Q t y H G N t j + S p O a 3 s 2 F R / I K V r T q z u W 8 e Y u Z + / U G W V 9 X w U W 3 1 j S Y k o h y E m h U z c F g k Z L O H c M 5 y Q R s p D r J Q g e D j D b p 7 S E l p X P n h D H v P f U T 2 r Q F i z m P 2 D 5 f b 1 W p a 0 k + s v k v h w a t k 6 g 0 E b B 7 j R E x j T i n s + m w C d g I I T f 4 F e K h e 7 Y / E J Z d 5 b p W C 4 3 h a g F s j M D e H 8 Q D U E s D B B Q A A g A I A H J 4 L 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y e C x U K I p H u A 4 A A A A R A A A A E w A c A E Z v c m 1 1 b G F z L 1 N l Y 3 R p b 2 4 x L m 0 g o h g A K K A U A A A A A A A A A A A A A A A A A A A A A A A A A A A A K 0 5 N L s n M z 1 M I h t C G 1 g B Q S w E C L Q A U A A I A C A B y e C x U 7 o 8 E y 6 U A A A D 2 A A A A E g A A A A A A A A A A A A A A A A A A A A A A Q 2 9 u Z m l n L 1 B h Y 2 t h Z 2 U u e G 1 s U E s B A i 0 A F A A C A A g A c n g s V A / K 6 a u k A A A A 6 Q A A A B M A A A A A A A A A A A A A A A A A 8 Q A A A F t D b 2 5 0 Z W 5 0 X 1 R 5 c G V z X S 5 4 b W x Q S w E C L Q A U A A I A C A B y e C x U 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c k 0 R 4 X k z F E m 6 B P W e 6 5 T 0 y A A A A A A C A A A A A A A Q Z g A A A A E A A C A A A A B z V z X j 3 a 1 r e O P k 8 7 1 O r U j f p U P O x M Z M H 7 D C 0 H O c b b L C Y g A A A A A O g A A A A A I A A C A A A A C v d h + b X 2 P V C i D 4 R V o f d T u O g k t r S r 7 E W 4 L j a 0 q S c n m 1 s F A A A A C T 8 a c M 8 h q g p a W n a W 4 a 8 p M a s K 7 N X S W M x k S Y V P N + h o 9 y l Q i W 3 v B 9 B C 7 U x d w U 4 o T 7 n 5 2 a a G u g 8 8 a U + B W z I z a n T J w F r H 4 r u 7 / s k v I k 0 n X w W G j t p 0 A A A A D 2 7 m s a o J w A + k J 2 5 E G q w Z 0 2 S f F D u D n H R f L B 9 A 3 1 c P + Z Y c Y M S a P P j B x v t F 7 L T B r G t B + 5 H 9 4 V w 0 V 4 s q q 8 N / W U M 6 W v < / D a t a M a s h u p > 
</file>

<file path=customXml/item24.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 8 6 2 3 2 1 2 0 5 < / S A H o s t H a s h > < G e m i n i F i e l d L i s t V i s i b l e > T r u e < / G e m i n i F i e l d L i s t V i s i b l e > < / S e t t i n g s > ] ] > < / C u s t o m C o n t e n t > < / G e m i n i > 
</file>

<file path=customXml/item2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 W i n t e r   d a i l y   s i t r e p s _ 1 d f 8 1 2 b b - 9 f c 3 - 4 6 7 4 - 8 d 4 1 - 6 0 c 6 7 2 6 a 8 e f 3 < / K e y > < V a l u e   x m l n s : a = " h t t p : / / s c h e m a s . d a t a c o n t r a c t . o r g / 2 0 0 4 / 0 7 / M i c r o s o f t . A n a l y s i s S e r v i c e s . C o m m o n " > < a : H a s F o c u s > t r u e < / a : H a s F o c u s > < a : S i z e A t D p i 9 6 > 2 6 0 < / a : S i z e A t D p i 9 6 > < a : V i s i b l e > t r u e < / a : V i s i b l e > < / V a l u e > < / K e y V a l u e O f s t r i n g S a n d b o x E d i t o r . M e a s u r e G r i d S t a t e S c d E 3 5 R y > < K e y V a l u e O f s t r i n g S a n d b o x E d i t o r . M e a s u r e G r i d S t a t e S c d E 3 5 R y > < K e y > W i n t e r   b e d   o c c   o v e r   1 4   d a y s < / K e y > < V a l u e   x m l n s : a = " h t t p : / / s c h e m a s . d a t a c o n t r a c t . o r g / 2 0 0 4 / 0 7 / M i c r o s o f t . A n a l y s i s S e r v i c e s . C o m m o n " > < a : H a s F o c u s > t r u e < / a : H a s F o c u s > < a : S i z e A t D p i 9 6 > 9 9 < / a : S i z e A t D p i 9 6 > < a : V i s i b l e > t r u e < / a : V i s i b l e > < / V a l u e > < / K e y V a l u e O f s t r i n g S a n d b o x E d i t o r . M e a s u r e G r i d S t a t e S c d E 3 5 R y > < K e y V a l u e O f s t r i n g S a n d b o x E d i t o r . M e a s u r e G r i d S t a t e S c d E 3 5 R y > < K e y > C O V I D - 1 9   d a i l y   d i s c h a r g e   s i t r e p s _ 7 3 a a c 4 9 b - f e 6 8 - 4 6 8 c - 8 b 7 7 - 5 6 2 f 4 b 5 f 0 a 7 6 < / 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26.xml><?xml version="1.0" encoding="utf-8"?>
<?mso-contentType ?>
<FormTemplates xmlns="http://schemas.microsoft.com/sharepoint/v3/contenttype/forms">
  <Display>DocumentLibraryForm</Display>
  <Edit>DocumentLibraryForm</Edit>
  <New>DocumentLibraryForm</New>
</FormTemplates>
</file>

<file path=customXml/item27.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 2 1 2 7 9 9 9 9 4 2 < / S A H o s t H a s h > < G e m i n i F i e l d L i s t V i s i b l e > F a l s e < / G e m i n i F i e l d L i s t V i s i b l e > < / S e t t i n g s > ] ] > < / C u s t o m C o n t e n t > < / G e m i n i > 
</file>

<file path=customXml/item2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 W i n t e r   d a i l y   s i t r e p s 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 W i n t e r   d a i l y   s i t r e p s 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 C o l u m n s \ c r i _ i d < / K e y > < / a : K e y > < a : V a l u e   i : t y p e = " T a b l e W i d g e t B a s e V i e w S t a t e " / > < / a : K e y V a l u e O f D i a g r a m O b j e c t K e y a n y T y p e z b w N T n L X > < a : K e y V a l u e O f D i a g r a m O b j e c t K e y a n y T y p e z b w N T n L X > < a : K e y > < K e y > C o l u m n s \ d r _ i d < / K e y > < / a : K e y > < a : V a l u e   i : t y p e = " T a b l e W i d g e t B a s e V i e w S t a t e " / > < / a : K e y V a l u e O f D i a g r a m O b j e c t K e y a n y T y p e z b w N T n L X > < a : K e y V a l u e O f D i a g r a m O b j e c t K e y a n y T y p e z b w N T n L X > < a : K e y > < K e y > C o l u m n s \ o r g _ i d < / K e y > < / a : K e y > < a : V a l u e   i : t y p e = " T a b l e W i d g e t B a s e V i e w S t a t e " / > < / a : K e y V a l u e O f D i a g r a m O b j e c t K e y a n y T y p e z b w N T n L X > < a : K e y V a l u e O f D i a g r a m O b j e c t K e y a n y T y p e z b w N T n L X > < a : K e y > < K e y > C o l u m n s \ c r i _ d a t a p e r i o d s t a r t < / K e y > < / a : K e y > < a : V a l u e   i : t y p e = " T a b l e W i d g e t B a s e V i e w S t a t e " / > < / a : K e y V a l u e O f D i a g r a m O b j e c t K e y a n y T y p e z b w N T n L X > < a : K e y V a l u e O f D i a g r a m O b j e c t K e y a n y T y p e z b w N T n L X > < a : K e y > < K e y > C o l u m n s \ C o d e 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 C o l u m n s \ W e e k < / K e y > < / a : K e y > < a : V a l u e   i : t y p e = " T a b l e W i d g e t B a s e V i e w S t a t e " / > < / a : K e y V a l u e O f D i a g r a m O b j e c t K e y a n y T y p e z b w N T n L X > < a : K e y V a l u e O f D i a g r a m O b j e c t K e y a n y T y p e z b w N T n L X > < a : K e y > < K e y > C o l u m n s \ D a y < / K e y > < / a : K e y > < a : V a l u e   i : t y p e = " T a b l e W i d g e t B a s e V i e w S t a t e " / > < / a : K e y V a l u e O f D i a g r a m O b j e c t K e y a n y T y p e z b w N T n L X > < a : K e y V a l u e O f D i a g r a m O b j e c t K e y a n y T y p e z b w N T n L X > < a : K e y > < K e y > C o l u m n s \ B a n k   h o l i d a y < / K e y > < / a : K e y > < a : V a l u e   i : t y p e = " T a b l e W i d g e t B a s e V i e w S t a t e " / > < / a : K e y V a l u e O f D i a g r a m O b j e c t K e y a n y T y p e z b w N T n L X > < a : K e y V a l u e O f D i a g r a m O b j e c t K e y a n y T y p e z b w N T n L X > < a : K e y > < K e y > C o l u m n s \ A E   c l o s u r e s < / K e y > < / a : K e y > < a : V a l u e   i : t y p e = " T a b l e W i d g e t B a s e V i e w S t a t e " / > < / a : K e y V a l u e O f D i a g r a m O b j e c t K e y a n y T y p e z b w N T n L X > < a : K e y V a l u e O f D i a g r a m O b j e c t K e y a n y T y p e z b w N T n L X > < a : K e y > < K e y > C o l u m n s \ A E   d i v e r t s < / K e y > < / a : K e y > < a : V a l u e   i : t y p e = " T a b l e W i d g e t B a s e V i e w S t a t e " / > < / a : K e y V a l u e O f D i a g r a m O b j e c t K e y a n y T y p e z b w N T n L X > < a : K e y V a l u e O f D i a g r a m O b j e c t K e y a n y T y p e z b w N T n L X > < a : K e y > < K e y > C o l u m n s \ A E   t y p e   1   a t t e n d a n c e s < / K e y > < / a : K e y > < a : V a l u e   i : t y p e = " T a b l e W i d g e t B a s e V i e w S t a t e " / > < / a : K e y V a l u e O f D i a g r a m O b j e c t K e y a n y T y p e z b w N T n L X > < a : K e y V a l u e O f D i a g r a m O b j e c t K e y a n y T y p e z b w N T n L X > < a : K e y > < K e y > C o l u m n s \ A E   t y p e   2   a t t e n d a n c e s < / K e y > < / a : K e y > < a : V a l u e   i : t y p e = " T a b l e W i d g e t B a s e V i e w S t a t e " / > < / a : K e y V a l u e O f D i a g r a m O b j e c t K e y a n y T y p e z b w N T n L X > < a : K e y V a l u e O f D i a g r a m O b j e c t K e y a n y T y p e z b w N T n L X > < a : K e y > < K e y > C o l u m n s \ A E   t y p e   3   a t t e n d a n c e s < / K e y > < / a : K e y > < a : V a l u e   i : t y p e = " T a b l e W i d g e t B a s e V i e w S t a t e " / > < / a : K e y V a l u e O f D i a g r a m O b j e c t K e y a n y T y p e z b w N T n L X > < a : K e y V a l u e O f D i a g r a m O b j e c t K e y a n y T y p e z b w N T n L X > < a : K e y > < K e y > C o l u m n s \ A E   t o t a l   a t t e n d a n c e s < / K e y > < / a : K e y > < a : V a l u e   i : t y p e = " T a b l e W i d g e t B a s e V i e w S t a t e " / > < / a : K e y V a l u e O f D i a g r a m O b j e c t K e y a n y T y p e z b w N T n L X > < a : K e y V a l u e O f D i a g r a m O b j e c t K e y a n y T y p e z b w N T n L X > < a : K e y > < K e y > C o l u m n s \ E m e r g e n c y   a d m i s s i o n s < / K e y > < / a : K e y > < a : V a l u e   i : t y p e = " T a b l e W i d g e t B a s e V i e w S t a t e " / > < / a : K e y V a l u e O f D i a g r a m O b j e c t K e y a n y T y p e z b w N T n L X > < a : K e y V a l u e O f D i a g r a m O b j e c t K e y a n y T y p e z b w N T n L X > < a : K e y > < K e y > C o l u m n s \ G A   c o r e   b e d s   a v a i l < / K e y > < / a : K e y > < a : V a l u e   i : t y p e = " T a b l e W i d g e t B a s e V i e w S t a t e " / > < / a : K e y V a l u e O f D i a g r a m O b j e c t K e y a n y T y p e z b w N T n L X > < a : K e y V a l u e O f D i a g r a m O b j e c t K e y a n y T y p e z b w N T n L X > < a : K e y > < K e y > C o l u m n s \ G A   e s c a l a t i o n   b e d s   a v a i l < / K e y > < / a : K e y > < a : V a l u e   i : t y p e = " T a b l e W i d g e t B a s e V i e w S t a t e " / > < / a : K e y V a l u e O f D i a g r a m O b j e c t K e y a n y T y p e z b w N T n L X > < a : K e y V a l u e O f D i a g r a m O b j e c t K e y a n y T y p e z b w N T n L X > < a : K e y > < K e y > C o l u m n s \ G A   t o t a l   b e d s   a v a i l < / K e y > < / a : K e y > < a : V a l u e   i : t y p e = " T a b l e W i d g e t B a s e V i e w S t a t e " / > < / a : K e y V a l u e O f D i a g r a m O b j e c t K e y a n y T y p e z b w N T n L X > < a : K e y V a l u e O f D i a g r a m O b j e c t K e y a n y T y p e z b w N T n L X > < a : K e y > < K e y > C o l u m n s \ G A   t o t a l   b e d s   o c c u p i e d < / K e y > < / a : K e y > < a : V a l u e   i : t y p e = " T a b l e W i d g e t B a s e V i e w S t a t e " / > < / a : K e y V a l u e O f D i a g r a m O b j e c t K e y a n y T y p e z b w N T n L X > < a : K e y V a l u e O f D i a g r a m O b j e c t K e y a n y T y p e z b w N T n L X > < a : K e y > < K e y > C o l u m n s \ B e d s   c l o s e d   n o r o v i r u s < / K e y > < / a : K e y > < a : V a l u e   i : t y p e = " T a b l e W i d g e t B a s e V i e w S t a t e " / > < / a : K e y V a l u e O f D i a g r a m O b j e c t K e y a n y T y p e z b w N T n L X > < a : K e y V a l u e O f D i a g r a m O b j e c t K e y a n y T y p e z b w N T n L X > < a : K e y > < K e y > C o l u m n s \ B e d s   c l o s e d   n o r o v i u s   u n o c c < / K e y > < / a : K e y > < a : V a l u e   i : t y p e = " T a b l e W i d g e t B a s e V i e w S t a t e " / > < / a : K e y V a l u e O f D i a g r a m O b j e c t K e y a n y T y p e z b w N T n L X > < a : K e y V a l u e O f D i a g r a m O b j e c t K e y a n y T y p e z b w N T n L X > < a : K e y > < K e y > C o l u m n s \ A d u l t   C C   b e d s   a v a i l < / K e y > < / a : K e y > < a : V a l u e   i : t y p e = " T a b l e W i d g e t B a s e V i e w S t a t e " / > < / a : K e y V a l u e O f D i a g r a m O b j e c t K e y a n y T y p e z b w N T n L X > < a : K e y V a l u e O f D i a g r a m O b j e c t K e y a n y T y p e z b w N T n L X > < a : K e y > < K e y > C o l u m n s \ A d u l t   C C   b e d s   o c c < / K e y > < / a : K e y > < a : V a l u e   i : t y p e = " T a b l e W i d g e t B a s e V i e w S t a t e " / > < / a : K e y V a l u e O f D i a g r a m O b j e c t K e y a n y T y p e z b w N T n L X > < a : K e y V a l u e O f D i a g r a m O b j e c t K e y a n y T y p e z b w N T n L X > < a : K e y > < K e y > C o l u m n s \ P a e d   I n t   C a r e   A v a i l < / K e y > < / a : K e y > < a : V a l u e   i : t y p e = " T a b l e W i d g e t B a s e V i e w S t a t e " / > < / a : K e y V a l u e O f D i a g r a m O b j e c t K e y a n y T y p e z b w N T n L X > < a : K e y V a l u e O f D i a g r a m O b j e c t K e y a n y T y p e z b w N T n L X > < a : K e y > < K e y > C o l u m n s \ P a e d   I n t   C a r e   O c c < / K e y > < / a : K e y > < a : V a l u e   i : t y p e = " T a b l e W i d g e t B a s e V i e w S t a t e " / > < / a : K e y V a l u e O f D i a g r a m O b j e c t K e y a n y T y p e z b w N T n L X > < a : K e y V a l u e O f D i a g r a m O b j e c t K e y a n y T y p e z b w N T n L X > < a : K e y > < K e y > C o l u m n s \ N e o   I n t   C a r e   A v a i l < / K e y > < / a : K e y > < a : V a l u e   i : t y p e = " T a b l e W i d g e t B a s e V i e w S t a t e " / > < / a : K e y V a l u e O f D i a g r a m O b j e c t K e y a n y T y p e z b w N T n L X > < a : K e y V a l u e O f D i a g r a m O b j e c t K e y a n y T y p e z b w N T n L X > < a : K e y > < K e y > C o l u m n s \ N e o   I n t   C a r e   o c c < / K e y > < / a : K e y > < a : V a l u e   i : t y p e = " T a b l e W i d g e t B a s e V i e w S t a t e " / > < / a : K e y V a l u e O f D i a g r a m O b j e c t K e y a n y T y p e z b w N T n L X > < a : K e y V a l u e O f D i a g r a m O b j e c t K e y a n y T y p e z b w N T n L X > < a : K e y > < K e y > C o l u m n s \ O P E L   3   o r   a b o v e < / K e y > < / a : K e y > < a : V a l u e   i : t y p e = " T a b l e W i d g e t B a s e V i e w S t a t e " / > < / a : K e y V a l u e O f D i a g r a m O b j e c t K e y a n y T y p e z b w N T n L X > < a : K e y V a l u e O f D i a g r a m O b j e c t K e y a n y T y p e z b w N T n L X > < a : K e y > < K e y > C o l u m n s \ W e e k e n d < / 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 C o l u m n s \ B e d s   o c c   o v e r   7   d a y s < / K e y > < / a : K e y > < a : V a l u e   i : t y p e = " T a b l e W i d g e t B a s e V i e w S t a t e " / > < / a : K e y V a l u e O f D i a g r a m O b j e c t K e y a n y T y p e z b w N T n L X > < a : K e y V a l u e O f D i a g r a m O b j e c t K e y a n y T y p e z b w N T n L X > < a : K e y > < K e y > C o l u m n s \ B e d s   o c c   o v e r   2 1   d a y s < / K e y > < / a : K e y > < a : V a l u e   i : t y p e = " T a b l e W i d g e t B a s e V i e w S t a t e " / > < / a : K e y V a l u e O f D i a g r a m O b j e c t K e y a n y T y p e z b w N T n L X > < a : K e y V a l u e O f D i a g r a m O b j e c t K e y a n y T y p e z b w N T n L X > < a : K e y > < K e y > C o l u m n s \ A m b   a r r i v a l s < / K e y > < / a : K e y > < a : V a l u e   i : t y p e = " T a b l e W i d g e t B a s e V i e w S t a t e " / > < / a : K e y V a l u e O f D i a g r a m O b j e c t K e y a n y T y p e z b w N T n L X > < a : K e y V a l u e O f D i a g r a m O b j e c t K e y a n y T y p e z b w N T n L X > < a : K e y > < K e y > C o l u m n s \ A m b   d e l a y s   3 0 - 6 0   m i n s < / K e y > < / a : K e y > < a : V a l u e   i : t y p e = " T a b l e W i d g e t B a s e V i e w S t a t e " / > < / a : K e y V a l u e O f D i a g r a m O b j e c t K e y a n y T y p e z b w N T n L X > < a : K e y V a l u e O f D i a g r a m O b j e c t K e y a n y T y p e z b w N T n L X > < a : K e y > < K e y > C o l u m n s \ A m b   d e l a y s   o v e r   6 0   m i n s < / K e y > < / a : K e y > < a : V a l u e   i : t y p e = " T a b l e W i d g e t B a s e V i e w S t a t e " / > < / a : K e y V a l u e O f D i a g r a m O b j e c t K e y a n y T y p e z b w N T n L X > < a : K e y V a l u e O f D i a g r a m O b j e c t K e y a n y T y p e z b w N T n L X > < a : K e y > < K e y > C o l u m n s \ W e e k   l o n g < / K e y > < / a : K e y > < a : V a l u e   i : t y p e = " T a b l e W i d g e t B a s e V i e w S t a t e " / > < / a : K e y V a l u e O f D i a g r a m O b j e c t K e y a n y T y p e z b w N T n L X > < a : K e y V a l u e O f D i a g r a m O b j e c t K e y a n y T y p e z b w N T n L X > < a : K e y > < K e y > C o l u m n s \ G A   b e d   o c c u p a n c y < / K e y > < / a : K e y > < a : V a l u e   i : t y p e = " T a b l e W i d g e t B a s e V i e w S t a t e " / > < / a : K e y V a l u e O f D i a g r a m O b j e c t K e y a n y T y p e z b w N T n L X > < a : K e y V a l u e O f D i a g r a m O b j e c t K e y a n y T y p e z b w N T n L X > < a : K e y > < K e y > C o l u m n s \ B e d s   o c c   o v e r   1 4   d a y s < / K e y > < / a : K e y > < a : V a l u e   i : t y p e = " T a b l e W i d g e t B a s e V i e w S t a t e " / > < / a : K e y V a l u e O f D i a g r a m O b j e c t K e y a n y T y p e z b w N T n L X > < a : K e y V a l u e O f D i a g r a m O b j e c t K e y a n y T y p e z b w N T n L X > < a : K e y > < K e y > C o l u m n s \ G A   f l u   b e d s < / K e y > < / a : K e y > < a : V a l u e   i : t y p e = " T a b l e W i d g e t B a s e V i e w S t a t e " / > < / a : K e y V a l u e O f D i a g r a m O b j e c t K e y a n y T y p e z b w N T n L X > < a : K e y V a l u e O f D i a g r a m O b j e c t K e y a n y T y p e z b w N T n L X > < a : K e y > < K e y > C o l u m n s \ C C   f l u   b e d s < / K e y > < / a : K e y > < a : V a l u e   i : t y p e = " T a b l e W i d g e t B a s e V i e w S t a t e " / > < / a : K e y V a l u e O f D i a g r a m O b j e c t K e y a n y T y p e z b w N T n L X > < a : K e y V a l u e O f D i a g r a m O b j e c t K e y a n y T y p e z b w N T n L X > < a : K e y > < K e y > C o l u m n s \ P a e d s   R S V   b e d s   c l o s e d < / K e y > < / a : K e y > < a : V a l u e   i : t y p e = " T a b l e W i d g e t B a s e V i e w S t a t e " / > < / a : K e y V a l u e O f D i a g r a m O b j e c t K e y a n y T y p e z b w N T n L X > < a : K e y V a l u e O f D i a g r a m O b j e c t K e y a n y T y p e z b w N T n L X > < a : K e y > < K e y > C o l u m n s \ P a e d s   R S V   b e d s   c l o s e d   u n o c c 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 W i n t e r   b e d   o c c   o v e r   1 4   d a y s 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 W i n t e r   b e d   o c c   o v e r   1 4   d a y s 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 C o l u m n s \ C o d e 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 C o l u m n s \ W e e k < / K e y > < / a : K e y > < a : V a l u e   i : t y p e = " T a b l e W i d g e t B a s e V i e w S t a t e " / > < / a : K e y V a l u e O f D i a g r a m O b j e c t K e y a n y T y p e z b w N T n L X > < a : K e y V a l u e O f D i a g r a m O b j e c t K e y a n y T y p e z b w N T n L X > < a : K e y > < K e y > C o l u m n s \ D a y < / K e y > < / a : K e y > < a : V a l u e   i : t y p e = " T a b l e W i d g e t B a s e V i e w S t a t e " / > < / a : K e y V a l u e O f D i a g r a m O b j e c t K e y a n y T y p e z b w N T n L X > < a : K e y V a l u e O f D i a g r a m O b j e c t K e y a n y T y p e z b w N T n L X > < a : K e y > < K e y > C o l u m n s \ W e e k e n d < / K e y > < / a : K e y > < a : V a l u e   i : t y p e = " T a b l e W i d g e t B a s e V i e w S t a t e " / > < / a : K e y V a l u e O f D i a g r a m O b j e c t K e y a n y T y p e z b w N T n L X > < a : K e y V a l u e O f D i a g r a m O b j e c t K e y a n y T y p e z b w N T n L X > < a : K e y > < K e y > C o l u m n s \ B a n k   h o l i d a y < / K e y > < / a : K e y > < a : V a l u e   i : t y p e = " T a b l e W i d g e t B a s e V i e w S t a t e " / > < / a : K e y V a l u e O f D i a g r a m O b j e c t K e y a n y T y p e z b w N T n L X > < a : K e y V a l u e O f D i a g r a m O b j e c t K e y a n y T y p e z b w N T n L X > < a : K e y > < K e y > C o l u m n s \ A   E   c l o s u r e s < / K e y > < / a : K e y > < a : V a l u e   i : t y p e = " T a b l e W i d g e t B a s e V i e w S t a t e " / > < / a : K e y V a l u e O f D i a g r a m O b j e c t K e y a n y T y p e z b w N T n L X > < a : K e y V a l u e O f D i a g r a m O b j e c t K e y a n y T y p e z b w N T n L X > < a : K e y > < K e y > C o l u m n s \ A   E   d i v e r t s < / K e y > < / a : K e y > < a : V a l u e   i : t y p e = " T a b l e W i d g e t B a s e V i e w S t a t e " / > < / a : K e y V a l u e O f D i a g r a m O b j e c t K e y a n y T y p e z b w N T n L X > < a : K e y V a l u e O f D i a g r a m O b j e c t K e y a n y T y p e z b w N T n L X > < a : K e y > < K e y > C o l u m n s \ G   A   c o r e   b e d s   a v a i l < / K e y > < / a : K e y > < a : V a l u e   i : t y p e = " T a b l e W i d g e t B a s e V i e w S t a t e " / > < / a : K e y V a l u e O f D i a g r a m O b j e c t K e y a n y T y p e z b w N T n L X > < a : K e y V a l u e O f D i a g r a m O b j e c t K e y a n y T y p e z b w N T n L X > < a : K e y > < K e y > C o l u m n s \ G   A   e s c a l a t i o n   b e d s   a v a i l < / K e y > < / a : K e y > < a : V a l u e   i : t y p e = " T a b l e W i d g e t B a s e V i e w S t a t e " / > < / a : K e y V a l u e O f D i a g r a m O b j e c t K e y a n y T y p e z b w N T n L X > < a : K e y V a l u e O f D i a g r a m O b j e c t K e y a n y T y p e z b w N T n L X > < a : K e y > < K e y > C o l u m n s \ G   A   t o t a l   b e d s   a v a i l < / K e y > < / a : K e y > < a : V a l u e   i : t y p e = " T a b l e W i d g e t B a s e V i e w S t a t e " / > < / a : K e y V a l u e O f D i a g r a m O b j e c t K e y a n y T y p e z b w N T n L X > < a : K e y V a l u e O f D i a g r a m O b j e c t K e y a n y T y p e z b w N T n L X > < a : K e y > < K e y > C o l u m n s \ G   A   t o t a l   b e d s   o c c u p i e d < / K e y > < / a : K e y > < a : V a l u e   i : t y p e = " T a b l e W i d g e t B a s e V i e w S t a t e " / > < / a : K e y V a l u e O f D i a g r a m O b j e c t K e y a n y T y p e z b w N T n L X > < a : K e y V a l u e O f D i a g r a m O b j e c t K e y a n y T y p e z b w N T n L X > < a : K e y > < K e y > C o l u m n s \ B e d s   o c c   o v e r   7   d a y s < / K e y > < / a : K e y > < a : V a l u e   i : t y p e = " T a b l e W i d g e t B a s e V i e w S t a t e " / > < / a : K e y V a l u e O f D i a g r a m O b j e c t K e y a n y T y p e z b w N T n L X > < a : K e y V a l u e O f D i a g r a m O b j e c t K e y a n y T y p e z b w N T n L X > < a : K e y > < K e y > C o l u m n s \ B e d s   o c c   o v e r   2 1   d a y s < / K e y > < / a : K e y > < a : V a l u e   i : t y p e = " T a b l e W i d g e t B a s e V i e w S t a t e " / > < / a : K e y V a l u e O f D i a g r a m O b j e c t K e y a n y T y p e z b w N T n L X > < a : K e y V a l u e O f D i a g r a m O b j e c t K e y a n y T y p e z b w N T n L X > < a : K e y > < K e y > C o l u m n s \ B e d s   c l o s e d   n o r o v i r u s < / K e y > < / a : K e y > < a : V a l u e   i : t y p e = " T a b l e W i d g e t B a s e V i e w S t a t e " / > < / a : K e y V a l u e O f D i a g r a m O b j e c t K e y a n y T y p e z b w N T n L X > < a : K e y V a l u e O f D i a g r a m O b j e c t K e y a n y T y p e z b w N T n L X > < a : K e y > < K e y > C o l u m n s \ B e d s   c l o s e d   n o r o v i u s   u n o c c < / K e y > < / a : K e y > < a : V a l u e   i : t y p e = " T a b l e W i d g e t B a s e V i e w S t a t e " / > < / a : K e y V a l u e O f D i a g r a m O b j e c t K e y a n y T y p e z b w N T n L X > < a : K e y V a l u e O f D i a g r a m O b j e c t K e y a n y T y p e z b w N T n L X > < a : K e y > < K e y > C o l u m n s \ A d u l t   C C   b e d s   a v a i l < / K e y > < / a : K e y > < a : V a l u e   i : t y p e = " T a b l e W i d g e t B a s e V i e w S t a t e " / > < / a : K e y V a l u e O f D i a g r a m O b j e c t K e y a n y T y p e z b w N T n L X > < a : K e y V a l u e O f D i a g r a m O b j e c t K e y a n y T y p e z b w N T n L X > < a : K e y > < K e y > C o l u m n s \ A d u l t   C C   b e d s   o c c < / K e y > < / a : K e y > < a : V a l u e   i : t y p e = " T a b l e W i d g e t B a s e V i e w S t a t e " / > < / a : K e y V a l u e O f D i a g r a m O b j e c t K e y a n y T y p e z b w N T n L X > < a : K e y V a l u e O f D i a g r a m O b j e c t K e y a n y T y p e z b w N T n L X > < a : K e y > < K e y > C o l u m n s \ P a e d   I n t   C a r e   A v a i l < / K e y > < / a : K e y > < a : V a l u e   i : t y p e = " T a b l e W i d g e t B a s e V i e w S t a t e " / > < / a : K e y V a l u e O f D i a g r a m O b j e c t K e y a n y T y p e z b w N T n L X > < a : K e y V a l u e O f D i a g r a m O b j e c t K e y a n y T y p e z b w N T n L X > < a : K e y > < K e y > C o l u m n s \ P a e d   I n t   C a r e   O c c < / K e y > < / a : K e y > < a : V a l u e   i : t y p e = " T a b l e W i d g e t B a s e V i e w S t a t e " / > < / a : K e y V a l u e O f D i a g r a m O b j e c t K e y a n y T y p e z b w N T n L X > < a : K e y V a l u e O f D i a g r a m O b j e c t K e y a n y T y p e z b w N T n L X > < a : K e y > < K e y > C o l u m n s \ N e o   I n t   C a r e   A v a i l < / K e y > < / a : K e y > < a : V a l u e   i : t y p e = " T a b l e W i d g e t B a s e V i e w S t a t e " / > < / a : K e y V a l u e O f D i a g r a m O b j e c t K e y a n y T y p e z b w N T n L X > < a : K e y V a l u e O f D i a g r a m O b j e c t K e y a n y T y p e z b w N T n L X > < a : K e y > < K e y > C o l u m n s \ N e o   I n t   C a r e   o c c < / K e y > < / a : K e y > < a : V a l u e   i : t y p e = " T a b l e W i d g e t B a s e V i e w S t a t e " / > < / a : K e y V a l u e O f D i a g r a m O b j e c t K e y a n y T y p e z b w N T n L X > < a : K e y V a l u e O f D i a g r a m O b j e c t K e y a n y T y p e z b w N T n L X > < a : K e y > < K e y > C o l u m n s \ A m b   a r r i v a l s < / K e y > < / a : K e y > < a : V a l u e   i : t y p e = " T a b l e W i d g e t B a s e V i e w S t a t e " / > < / a : K e y V a l u e O f D i a g r a m O b j e c t K e y a n y T y p e z b w N T n L X > < a : K e y V a l u e O f D i a g r a m O b j e c t K e y a n y T y p e z b w N T n L X > < a : K e y > < K e y > C o l u m n s \ A m b   d e l a y s   3 0 - 6 0   m i n s < / K e y > < / a : K e y > < a : V a l u e   i : t y p e = " T a b l e W i d g e t B a s e V i e w S t a t e " / > < / a : K e y V a l u e O f D i a g r a m O b j e c t K e y a n y T y p e z b w N T n L X > < a : K e y V a l u e O f D i a g r a m O b j e c t K e y a n y T y p e z b w N T n L X > < a : K e y > < K e y > C o l u m n s \ A m b   d e l a y s   o v e r   6 0   m i n s < / K e y > < / a : K e y > < a : V a l u e   i : t y p e = " T a b l e W i d g e t B a s e V i e w S t a t e " / > < / a : K e y V a l u e O f D i a g r a m O b j e c t K e y a n y T y p e z b w N T n L X > < a : K e y V a l u e O f D i a g r a m O b j e c t K e y a n y T y p e z b w N T n L X > < a : K e y > < K e y > C o l u m n s \ B e d s   o c c   o v e r   1 4   d a y s 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 C O V I D - 1 9   d a i l y   d i s c h a r g e   s i t r e p s 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 C O V I D - 1 9   d a i l y   d i s c h a r g e   s i t r e p s 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 C o l u m n s \ c r i _ i d < / K e y > < / a : K e y > < a : V a l u e   i : t y p e = " T a b l e W i d g e t B a s e V i e w S t a t e " / > < / a : K e y V a l u e O f D i a g r a m O b j e c t K e y a n y T y p e z b w N T n L X > < a : K e y V a l u e O f D i a g r a m O b j e c t K e y a n y T y p e z b w N T n L X > < a : K e y > < K e y > C o l u m n s \ d r _ i d < / K e y > < / a : K e y > < a : V a l u e   i : t y p e = " T a b l e W i d g e t B a s e V i e w S t a t e " / > < / a : K e y V a l u e O f D i a g r a m O b j e c t K e y a n y T y p e z b w N T n L X > < a : K e y V a l u e O f D i a g r a m O b j e c t K e y a n y T y p e z b w N T n L X > < a : K e y > < K e y > C o l u m n s \ o r g _ i d < / K e y > < / a : K e y > < a : V a l u e   i : t y p e = " T a b l e W i d g e t B a s e V i e w S t a t e " / > < / a : K e y V a l u e O f D i a g r a m O b j e c t K e y a n y T y p e z b w N T n L X > < a : K e y V a l u e O f D i a g r a m O b j e c t K e y a n y T y p e z b w N T n L X > < a : K e y > < K e y > C o l u m n s \ c r i _ d a t a p e r i o d s t a r t < / 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 C o l u m n s \ C o d e 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 C o l u m n s \ W e e k < / K e y > < / a : K e y > < a : V a l u e   i : t y p e = " T a b l e W i d g e t B a s e V i e w S t a t e " / > < / a : K e y V a l u e O f D i a g r a m O b j e c t K e y a n y T y p e z b w N T n L X > < a : K e y V a l u e O f D i a g r a m O b j e c t K e y a n y T y p e z b w N T n L X > < a : K e y > < K e y > C o l u m n s \ D a y < / K e y > < / a : K e y > < a : V a l u e   i : t y p e = " T a b l e W i d g e t B a s e V i e w S t a t e " / > < / a : K e y V a l u e O f D i a g r a m O b j e c t K e y a n y T y p e z b w N T n L X > < a : K e y V a l u e O f D i a g r a m O b j e c t K e y a n y T y p e z b w N T n L X > < a : K e y > < K e y > C o l u m n s \ P a t i e n t s   w h o   n o   l o n g e r   m e e t   t h e   c r i t e r i a   t o   r e s i d e < / K e y > < / a : K e y > < a : V a l u e   i : t y p e = " T a b l e W i d g e t B a s e V i e w S t a t e " / > < / a : K e y V a l u e O f D i a g r a m O b j e c t K e y a n y T y p e z b w N T n L X > < a : K e y V a l u e O f D i a g r a m O b j e c t K e y a n y T y p e z b w N T n L X > < a : K e y > < K e y > C o l u m n s \ P a t i e n t s   d i s c h a r g e d < / K e y > < / a : K e y > < a : V a l u e   i : t y p e = " T a b l e W i d g e t B a s e V i e w S t a t e " / > < / a : K e y V a l u e O f D i a g r a m O b j e c t K e y a n y T y p e z b w N T n L X > < a : K e y V a l u e O f D i a g r a m O b j e c t K e y a n y T y p e z b w N T n L X > < a : K e y > < K e y > C o l u m n s \ P a t i e n t s   r e m a i n i n g   i n   h o s p i t a l   w h o   n o   l o n g e r   m e e t   t h e   c r i t e r i a   t o   r e s i d e 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9.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S A H o s t H a s h > 0 < / S A H o s t H a s h > < G e m i n i F i e l d L i s t V i s i b l e > T r u e < / G e m i n i F i e l d L i s t V i s i b l e > < / S e t t i n g s > ] ] > < / C u s t o m C o n t e n t > < / G e m i n i > 
</file>

<file path=customXml/item3.xml>��< ? x m l   v e r s i o n = " 1 . 0 "   e n c o d i n g = " U T F - 1 6 " ? > < G e m i n i   x m l n s = " h t t p : / / g e m i n i / p i v o t c u s t o m i z a t i o n / S h o w H i d d e n " > < C u s t o m C o n t e n t > < ! [ C D A T A [ T r u e ] ] > < / C u s t o m C o n t e n t > < / G e m i n i > 
</file>

<file path=customXml/item30.xml>��< ? x m l   v e r s i o n = " 1 . 0 "   e n c o d i n g = " U T F - 1 6 " ? > < G e m i n i   x m l n s = " h t t p : / / g e m i n i / p i v o t c u s t o m i z a t i o n / d 5 e e 9 b e f - 4 b b 4 - 4 a f f - b 8 f 7 - 1 1 6 d 3 b e 6 0 2 b 7 " > < C u s t o m C o n t e n t > < ! [ C D A T A [ < ? x m l   v e r s i o n = " 1 . 0 "   e n c o d i n g = " u t f - 1 6 " ? > < S e t t i n g s > < H S l i c e r s S h a p e > 0 ; 0 ; 0 ; 0 < / H S l i c e r s S h a p e > < V S l i c e r s S h a p e > 0 ; 0 ; 0 ; 0 < / V S l i c e r s S h a p e > < S l i c e r S h e e t N a m e > L o n g   s t a y < / S l i c e r S h e e t N a m e > < S A H o s t H a s h > 2 1 0 6 5 3 1 7 5 7 < / S A H o s t H a s h > < G e m i n i F i e l d L i s t V i s i b l e > F a l s e < / G e m i n i F i e l d L i s t V i s i b l e > < / S e t t i n g s > ] ] > < / C u s t o m C o n t e n t > < / G e m i n i > 
</file>

<file path=customXml/item31.xml>��< ? x m l   v e r s i o n = " 1 . 0 "   e n c o d i n g = " U T F - 1 6 " ? > < G e m i n i   x m l n s = " h t t p : / / g e m i n i / p i v o t c u s t o m i z a t i o n / L i n k e d T a b l e U p d a t e M o d e " > < C u s t o m C o n t e n t > < ! [ C D A T A [ T r u e ] ] > < / C u s t o m C o n t e n t > < / G e m i n i > 
</file>

<file path=customXml/item32.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 1 7 4 5 2 4 5 8 0 8 < / S A H o s t H a s h > < G e m i n i F i e l d L i s t V i s i b l e > T r u e < / G e m i n i F i e l d L i s t V i s i b l e > < / S e t t i n g s > ] ] > < / C u s t o m C o n t e n t > < / G e m i n i > 
</file>

<file path=customXml/item33.xml>��< ? x m l   v e r s i o n = " 1 . 0 "   e n c o d i n g = " U T F - 1 6 " ? > < G e m i n i   x m l n s = " h t t p : / / g e m i n i / p i v o t c u s t o m i z a t i o n / C l i e n t W i n d o w X M L " > < C u s t o m C o n t e n t > < ! [ C D A T A [ C O V I D - 1 9   d a i l y   d i s c h a r g e   s i t r e p s _ 7 3 a a c 4 9 b - f e 6 8 - 4 6 8 c - 8 b 7 7 - 5 6 2 f 4 b 5 f 0 a 7 6 ] ] > < / C u s t o m C o n t e n t > < / G e m i n i > 
</file>

<file path=customXml/item34.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S A H o s t H a s h > 0 < / S A H o s t H a s h > < G e m i n i F i e l d L i s t V i s i b l e > T r u e < / G e m i n i F i e l d L i s t V i s i b l e > < / S e t t i n g s > ] ] > < / C u s t o m C o n t e n t > < / G e m i n i > 
</file>

<file path=customXml/item35.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S A H o s t H a s h > 0 < / S A H o s t H a s h > < G e m i n i F i e l d L i s t V i s i b l e > T r u e < / G e m i n i F i e l d L i s t V i s i b l e > < / S e t t i n g s > ] ] > < / C u s t o m C o n t e n t > < / G e m i n i > 
</file>

<file path=customXml/item36.xml>��< ? x m l   v e r s i o n = " 1 . 0 "   e n c o d i n g = " U T F - 1 6 " ? > < G e m i n i   x m l n s = " h t t p : / / g e m i n i / p i v o t c u s t o m i z a t i o n / S h o w I m p l i c i t M e a s u r e s " > < C u s t o m C o n t e n t > < ! [ C D A T A [ F a l s e ] ] > < / C u s t o m C o n t e n t > < / G e m i n i > 
</file>

<file path=customXml/item37.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 1 6 2 5 7 5 8 2 0 0 < / S A H o s t H a s h > < G e m i n i F i e l d L i s t V i s i b l e > F a l s e < / G e m i n i F i e l d L i s t V i s i b l e > < / S e t t i n g s > ] ] > < / C u s t o m C o n t e n t > < / G e m i n i > 
</file>

<file path=customXml/item38.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S A H o s t H a s h > 0 < / S A H o s t H a s h > < G e m i n i F i e l d L i s t V i s i b l e > T r u e < / G e m i n i F i e l d L i s t V i s i b l e > < / S e t t i n g s > ] ] > < / C u s t o m C o n t e n t > < / G e m i n i > 
</file>

<file path=customXml/item39.xml>��< ? x m l   v e r s i o n = " 1 . 0 "   e n c o d i n g = " U T F - 1 6 " ? > < G e m i n i   x m l n s = " h t t p : / / g e m i n i / p i v o t c u s t o m i z a t i o n / h t t p : / / g e m i n i / w o r k b o o k c u s t o m i z a t i o n / L i n k e d T a b l e s " > < C u s t o m C o n t e n t > < ! [ C D A T A [ < L i n k e d T a b l e s   x m l n s : x s i = " h t t p : / / w w w . w 3 . o r g / 2 0 0 1 / X M L S c h e m a - i n s t a n c e "   x m l n s : x s d = " h t t p : / / w w w . w 3 . o r g / 2 0 0 1 / X M L S c h e m a " > < L i n k e d T a b l e L i s t   / > < / L i n k e d T a b l e s > ] ] > < / C u s t o m C o n t e n t > < / G e m i n i > 
</file>

<file path=customXml/item4.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40.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S A H o s t H a s h > 0 < / S A H o s t H a s h > < G e m i n i F i e l d L i s t V i s i b l e > T r u e < / G e m i n i F i e l d L i s t V i s i b l e > < / S e t t i n g s > ] ] > < / C u s t o m C o n t e n t > < / G e m i n i > 
</file>

<file path=customXml/item41.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42.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S A H o s t H a s h > 0 < / S A H o s t H a s h > < G e m i n i F i e l d L i s t V i s i b l e > T r u e < / G e m i n i F i e l d L i s t V i s i b l e > < / S e t t i n g s > ] ] > < / C u s t o m C o n t e n t > < / G e m i n i > 
</file>

<file path=customXml/item43.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S A H o s t H a s h > 0 < / S A H o s t H a s h > < G e m i n i F i e l d L i s t V i s i b l e > T r u e < / G e m i n i F i e l d L i s t V i s i b l e > < / S e t t i n g s > ] ] > < / C u s t o m C o n t e n t > < / G e m i n i > 
</file>

<file path=customXml/item44.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S A H o s t H a s h > 0 < / S A H o s t H a s h > < G e m i n i F i e l d L i s t V i s i b l e > T r u e < / G e m i n i F i e l d L i s t V i s i b l e > < / S e t t i n g s > ] ] > < / C u s t o m C o n t e n t > < / G e m i n i > 
</file>

<file path=customXml/item45.xml>��< ? x m l   v e r s i o n = " 1 . 0 "   e n c o d i n g = " U T F - 1 6 " ? > < G e m i n i   x m l n s = " h t t p : / / g e m i n i / p i v o t c u s t o m i z a t i o n / T a b l e X M L _ C O V I D - 1 9   d a i l y   d i s c h a r g e   s i t r e p s _ 7 3 a a c 4 9 b - f e 6 8 - 4 6 8 c - 8 b 7 7 - 5 6 2 f 4 b 5 f 0 a 7 6 " > < C u s t o m C o n t e n t > < ! [ C D A T A [ < T a b l e W i d g e t G r i d S e r i a l i z a t i o n   x m l n s : x s d = " h t t p : / / w w w . w 3 . o r g / 2 0 0 1 / X M L S c h e m a "   x m l n s : x s i = " h t t p : / / w w w . w 3 . o r g / 2 0 0 1 / X M L S c h e m a - i n s t a n c e " > < C o l u m n S u g g e s t e d T y p e > < i t e m > < k e y > < s t r i n g > P a t i e n t s   w h o   n o   l o n g e r   m e e t   t h e   c r i t e r i a   t o   r e s i d e < / s t r i n g > < / k e y > < v a l u e > < s t r i n g > E m p t y < / s t r i n g > < / v a l u e > < / i t e m > < i t e m > < k e y > < s t r i n g > P a t i e n t s   d i s c h a r g e d < / s t r i n g > < / k e y > < v a l u e > < s t r i n g > E m p t y < / s t r i n g > < / v a l u e > < / i t e m > < i t e m > < k e y > < s t r i n g > P a t i e n t s   r e m a i n i n g   i n   h o s p i t a l   w h o   n o   l o n g e r   m e e t   t h e   c r i t e r i a   t o   r e s i d e < / s t r i n g > < / k e y > < v a l u e > < s t r i n g > E m p t y < / s t r i n g > < / v a l u e > < / i t e m > < / C o l u m n S u g g e s t e d T y p e > < C o l u m n F o r m a t   / > < C o l u m n A c c u r a c y   / > < C o l u m n C u r r e n c y S y m b o l   / > < C o l u m n P o s i t i v e P a t t e r n   / > < C o l u m n N e g a t i v e P a t t e r n   / > < C o l u m n W i d t h s > < i t e m > < k e y > < s t r i n g > I D < / s t r i n g > < / k e y > < v a l u e > < i n t > 6 9 < / i n t > < / v a l u e > < / i t e m > < i t e m > < k e y > < s t r i n g > c r i _ i d < / s t r i n g > < / k e y > < v a l u e > < i n t > 9 9 < / i n t > < / v a l u e > < / i t e m > < i t e m > < k e y > < s t r i n g > d r _ i d < / s t r i n g > < / k e y > < v a l u e > < i n t > 9 7 < / i n t > < / v a l u e > < / i t e m > < i t e m > < k e y > < s t r i n g > o r g _ i d < / s t r i n g > < / k e y > < v a l u e > < i n t > 1 0 7 < / i n t > < / v a l u e > < / i t e m > < i t e m > < k e y > < s t r i n g > c r i _ d a t a p e r i o d s t a r t < / s t r i n g > < / k e y > < v a l u e > < i n t > 2 2 5 < / i n t > < / v a l u e > < / i t e m > < i t e m > < k e y > < s t r i n g > R e g i o n < / s t r i n g > < / k e y > < v a l u e > < i n t > 1 1 1 < / i n t > < / v a l u e > < / i t e m > < i t e m > < k e y > < s t r i n g > C o d e < / s t r i n g > < / k e y > < v a l u e > < i n t > 9 6 < / i n t > < / v a l u e > < / i t e m > < i t e m > < k e y > < s t r i n g > N a m e < / s t r i n g > < / k e y > < v a l u e > < i n t > 1 0 3 < / i n t > < / v a l u e > < / i t e m > < i t e m > < k e y > < s t r i n g > Y e a r < / s t r i n g > < / k e y > < v a l u e > < i n t > 8 8 < / i n t > < / v a l u e > < / i t e m > < i t e m > < k e y > < s t r i n g > D a t e < / s t r i n g > < / k e y > < v a l u e > < i n t > 9 2 < / i n t > < / v a l u e > < / i t e m > < i t e m > < k e y > < s t r i n g > W e e k < / s t r i n g > < / k e y > < v a l u e > < i n t > 1 0 0 < / i n t > < / v a l u e > < / i t e m > < i t e m > < k e y > < s t r i n g > D a y < / s t r i n g > < / k e y > < v a l u e > < i n t > 8 4 < / i n t > < / v a l u e > < / i t e m > < i t e m > < k e y > < s t r i n g > P a t i e n t s   w h o   n o   l o n g e r   m e e t   t h e   c r i t e r i a   t o   r e s i d e < / s t r i n g > < / k e y > < v a l u e > < i n t > 5 0 0 < / i n t > < / v a l u e > < / i t e m > < i t e m > < k e y > < s t r i n g > P a t i e n t s   d i s c h a r g e d < / s t r i n g > < / k e y > < v a l u e > < i n t > 2 2 6 < / i n t > < / v a l u e > < / i t e m > < i t e m > < k e y > < s t r i n g > P a t i e n t s   r e m a i n i n g   i n   h o s p i t a l   w h o   n o   l o n g e r   m e e t   t h e   c r i t e r i a   t o   r e s i d e < / s t r i n g > < / k e y > < v a l u e > < i n t > 6 9 7 < / i n t > < / v a l u e > < / i t e m > < / C o l u m n W i d t h s > < C o l u m n D i s p l a y I n d e x > < i t e m > < k e y > < s t r i n g > I D < / s t r i n g > < / k e y > < v a l u e > < i n t > 0 < / i n t > < / v a l u e > < / i t e m > < i t e m > < k e y > < s t r i n g > c r i _ i d < / s t r i n g > < / k e y > < v a l u e > < i n t > 1 < / i n t > < / v a l u e > < / i t e m > < i t e m > < k e y > < s t r i n g > d r _ i d < / s t r i n g > < / k e y > < v a l u e > < i n t > 2 < / i n t > < / v a l u e > < / i t e m > < i t e m > < k e y > < s t r i n g > o r g _ i d < / s t r i n g > < / k e y > < v a l u e > < i n t > 3 < / i n t > < / v a l u e > < / i t e m > < i t e m > < k e y > < s t r i n g > c r i _ d a t a p e r i o d s t a r t < / s t r i n g > < / k e y > < v a l u e > < i n t > 4 < / i n t > < / v a l u e > < / i t e m > < i t e m > < k e y > < s t r i n g > R e g i o n < / s t r i n g > < / k e y > < v a l u e > < i n t > 5 < / i n t > < / v a l u e > < / i t e m > < i t e m > < k e y > < s t r i n g > C o d e < / s t r i n g > < / k e y > < v a l u e > < i n t > 6 < / i n t > < / v a l u e > < / i t e m > < i t e m > < k e y > < s t r i n g > N a m e < / s t r i n g > < / k e y > < v a l u e > < i n t > 7 < / i n t > < / v a l u e > < / i t e m > < i t e m > < k e y > < s t r i n g > Y e a r < / s t r i n g > < / k e y > < v a l u e > < i n t > 8 < / i n t > < / v a l u e > < / i t e m > < i t e m > < k e y > < s t r i n g > D a t e < / s t r i n g > < / k e y > < v a l u e > < i n t > 9 < / i n t > < / v a l u e > < / i t e m > < i t e m > < k e y > < s t r i n g > W e e k < / s t r i n g > < / k e y > < v a l u e > < i n t > 1 0 < / i n t > < / v a l u e > < / i t e m > < i t e m > < k e y > < s t r i n g > D a y < / s t r i n g > < / k e y > < v a l u e > < i n t > 1 1 < / i n t > < / v a l u e > < / i t e m > < i t e m > < k e y > < s t r i n g > P a t i e n t s   w h o   n o   l o n g e r   m e e t   t h e   c r i t e r i a   t o   r e s i d e < / s t r i n g > < / k e y > < v a l u e > < i n t > 1 2 < / i n t > < / v a l u e > < / i t e m > < i t e m > < k e y > < s t r i n g > P a t i e n t s   d i s c h a r g e d < / s t r i n g > < / k e y > < v a l u e > < i n t > 1 3 < / i n t > < / v a l u e > < / i t e m > < i t e m > < k e y > < s t r i n g > P a t i e n t s   r e m a i n i n g   i n   h o s p i t a l   w h o   n o   l o n g e r   m e e t   t h e   c r i t e r i a   t o   r e s i d e < / s t r i n g > < / k e y > < v a l u e > < i n t > 1 4 < / 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47.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 5 5 5 5 6 1 8 4 3 < / S A H o s t H a s h > < G e m i n i F i e l d L i s t V i s i b l e > T r u e < / G e m i n i F i e l d L i s t V i s i b l e > < / S e t t i n g s > ] ] > < / C u s t o m C o n t e n t > < / G e m i n i > 
</file>

<file path=customXml/item48.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 3 2 3 6 7 7 5 6 0 < / S A H o s t H a s h > < G e m i n i F i e l d L i s t V i s i b l e > T r u e < / G e m i n i F i e l d L i s t V i s i b l e > < / S e t t i n g s > ] ] > < / C u s t o m C o n t e n t > < / G e m i n i > 
</file>

<file path=customXml/item49.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S A H o s t H a s h > 0 < / S A H o s t H a s h > < G e m i n i F i e l d L i s t V i s i b l e > T r u e < / G e m i n i F i e l d L i s t V i s i b l e > < / S e t t i n g s > ] ] > < / C u s t o m C o n t e n t > < / G e m i n i > 
</file>

<file path=customXml/item5.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 8 6 2 3 2 1 2 0 5 < / S A H o s t H a s h > < G e m i n i F i e l d L i s t V i s i b l e > T r u e < / G e m i n i F i e l d L i s t V i s i b l e > < / S e t t i n g s > ] ] > < / C u s t o m C o n t e n t > < / G e m i n i > 
</file>

<file path=customXml/item50.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S A H o s t H a s h > 0 < / S A H o s t H a s h > < G e m i n i F i e l d L i s t V i s i b l e > T r u e < / G e m i n i F i e l d L i s t V i s i b l e > < / S e t t i n g s > ] ] > < / C u s t o m C o n t e n t > < / G e m i n i > 
</file>

<file path=customXml/item51.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S A H o s t H a s h > 0 < / S A H o s t H a s h > < G e m i n i F i e l d L i s t V i s i b l e > T r u e < / G e m i n i F i e l d L i s t V i s i b l e > < / S e t t i n g s > ] ] > < / C u s t o m C o n t e n t > < / G e m i n i > 
</file>

<file path=customXml/item52.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S A H o s t H a s h > 0 < / S A H o s t H a s h > < G e m i n i F i e l d L i s t V i s i b l e > T r u e < / G e m i n i F i e l d L i s t V i s i b l e > < / S e t t i n g s > ] ] > < / C u s t o m C o n t e n t > < / G e m i n i > 
</file>

<file path=customXml/item53.xml>��< ? x m l   v e r s i o n = " 1 . 0 "   e n c o d i n g = " U T F - 1 6 " ? > < G e m i n i   x m l n s = " h t t p : / / g e m i n i / p i v o t c u s t o m i z a t i o n / T a b l e O r d e r " > < C u s t o m C o n t e n t > < ! [ C D A T A [ W i n t e r   d a i l y   s i t r e p s _ 1 d f 8 1 2 b b - 9 f c 3 - 4 6 7 4 - 8 d 4 1 - 6 0 c 6 7 2 6 a 8 e f 3 , W i n t e r   b e d   o c c   o v e r   1 4   d a y s , C O V I D - 1 9   d a i l y   d i s c h a r g e   s i t r e p s _ 7 3 a a c 4 9 b - f e 6 8 - 4 6 8 c - 8 b 7 7 - 5 6 2 f 4 b 5 f 0 a 7 6 ] ] > < / C u s t o m C o n t e n t > < / G e m i n i > 
</file>

<file path=customXml/item54.xml>��< ? x m l   v e r s i o n = " 1 . 0 "   e n c o d i n g = " U T F - 1 6 " ? > < G e m i n i   x m l n s = " h t t p : / / g e m i n i / p i v o t c u s t o m i z a t i o n / b d f a a e 4 a - 1 8 1 3 - 4 2 d f - 9 2 6 f - d e 8 e 8 9 8 8 7 2 a c " > < C u s t o m C o n t e n t > < ! [ C D A T A [ < ? x m l   v e r s i o n = " 1 . 0 "   e n c o d i n g = " u t f - 1 6 " ? > < S e t t i n g s > < H S l i c e r s S h a p e > 0 ; 0 ; 0 ; 0 < / H S l i c e r s S h a p e > < V S l i c e r s S h a p e > 0 ; 0 ; 0 ; 0 < / V S l i c e r s S h a p e > < S l i c e r S h e e t N a m e > L o n g   s t a y < / S l i c e r S h e e t N a m e > < S A H o s t H a s h > 1 0 2 8 2 5 0 7 5 7 < / S A H o s t H a s h > < G e m i n i F i e l d L i s t V i s i b l e > T r u e < / G e m i n i F i e l d L i s t V i s i b l e > < / S e t t i n g s > ] ] > < / C u s t o m C o n t e n t > < / G e m i n i > 
</file>

<file path=customXml/item55.xml>��< ? x m l   v e r s i o n = " 1 . 0 "   e n c o d i n g = " U T F - 1 6 " ? > < G e m i n i   x m l n s = " h t t p : / / g e m i n i / p i v o t c u s t o m i z a t i o n / e 4 f 2 c 4 7 2 - a 1 4 6 - 4 e e 5 - b e 4 9 - 5 2 8 7 0 8 8 b 7 2 0 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 1 7 4 5 2 4 5 8 0 8 < / S A H o s t H a s h > < G e m i n i F i e l d L i s t V i s i b l e > F a l s e < / G e m i n i F i e l d L i s t V i s i b l e > < / S e t t i n g s > ] ] > < / C u s t o m C o n t e n t > < / G e m i n i > 
</file>

<file path=customXml/item56.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57.xml>��< ? x m l   v e r s i o n = " 1 . 0 "   e n c o d i n g = " U T F - 1 6 " ? > < G e m i n i   x m l n s = " h t t p : / / g e m i n i / p i v o t c u s t o m i z a t i o n / h t t p : / / g e m i n i / w o r k b o o k c u s t o m i z a t i o n / R e l a t i o n s h i p A u t o D e t e c t i o n E n a b l e d " > < C u s t o m C o n t e n t > < ! [ C D A T A [ T r u e ] ] > < / C u s t o m C o n t e n t > < / G e m i n i > 
</file>

<file path=customXml/item58.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S A H o s t H a s h > 0 < / S A H o s t H a s h > < G e m i n i F i e l d L i s t V i s i b l e > T r u e < / G e m i n i F i e l d L i s t V i s i b l e > < / S e t t i n g s > ] ] > < / C u s t o m C o n t e n t > < / G e m i n i > 
</file>

<file path=customXml/item59.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60.xml>��< ? x m l   v e r s i o n = " 1 . 0 "   e n c o d i n g = " U T F - 1 6 " ? > < G e m i n i   x m l n s = " h t t p : / / g e m i n i / p i v o t c u s t o m i z a t i o n / M a n u a l C a l c M o d e " > < C u s t o m C o n t e n t > < ! [ C D A T A [ F a l s e ] ] > < / C u s t o m C o n t e n t > < / G e m i n i > 
</file>

<file path=customXml/item61.xml>��< ? x m l   v e r s i o n = " 1 . 0 "   e n c o d i n g = " U T F - 1 6 " ? > < G e m i n i   x m l n s = " h t t p : / / g e m i n i / p i v o t c u s t o m i z a t i o n / 9 e e 8 7 0 5 f - 7 4 2 d - 4 3 e 2 - b 9 a d - e 7 b 8 f 3 1 3 e 3 7 6 " > < C u s t o m C o n t e n t > < ! [ C D A T A [ < ? x m l   v e r s i o n = " 1 . 0 "   e n c o d i n g = " u t f - 1 6 " ? > < S e t t i n g s > < H S l i c e r s S h a p e > 0 ; 0 ; 0 ; 0 < / H S l i c e r s S h a p e > < V S l i c e r s S h a p e > 0 ; 0 ; 0 ; 0 < / V S l i c e r s S h a p e > < S l i c e r S h e e t N a m e > G & a m p ; A   b e d   o c c . < / S l i c e r S h e e t N a m e > < S A H o s t H a s h > 1 2 1 3 6 9 3 0 9 6 < / S A H o s t H a s h > < G e m i n i F i e l d L i s t V i s i b l e > F a l s e < / G e m i n i F i e l d L i s t V i s i b l e > < / S e t t i n g s > ] ] > < / C u s t o m C o n t e n t > < / G e m i n i > 
</file>

<file path=customXml/item62.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 2 0 4 1 8 9 9 5 2 < / S A H o s t H a s h > < G e m i n i F i e l d L i s t V i s i b l e > F a l s e < / G e m i n i F i e l d L i s t V i s i b l e > < / S e t t i n g s > ] ] > < / C u s t o m C o n t e n t > < / G e m i n i > 
</file>

<file path=customXml/item63.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S A H o s t H a s h > 0 < / S A H o s t H a s h > < G e m i n i F i e l d L i s t V i s i b l e > T r u e < / G e m i n i F i e l d L i s t V i s i b l e > < / S e t t i n g s > ] ] > < / C u s t o m C o n t e n t > < / G e m i n i > 
</file>

<file path=customXml/item64.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65.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S A H o s t H a s h > 0 < / S A H o s t H a s h > < G e m i n i F i e l d L i s t V i s i b l e > T r u e < / G e m i n i F i e l d L i s t V i s i b l e > < / S e t t i n g s > ] ] > < / C u s t o m C o n t e n t > < / G e m i n i > 
</file>

<file path=customXml/item66.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 6 2 9 2 9 1 1 3 3 < / S A H o s t H a s h > < G e m i n i F i e l d L i s t V i s i b l e > F a l s e < / G e m i n i F i e l d L i s t V i s i b l e > < / S e t t i n g s > ] ] > < / C u s t o m C o n t e n t > < / G e m i n i > 
</file>

<file path=customXml/item67.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68.xml>��< ? x m l   v e r s i o n = " 1 . 0 "   e n c o d i n g = " U T F - 1 6 " ? > < G e m i n i   x m l n s = " h t t p : / / g e m i n i / p i v o t c u s t o m i z a t i o n / T a b l e X M L _ W i n t e r   b e d   o c c   o v e r   1 4   d a y s " > < C u s t o m C o n t e n t > < ! [ C D A T A [ < T a b l e W i d g e t G r i d S e r i a l i z a t i o n   x m l n s : x s d = " h t t p : / / w w w . w 3 . o r g / 2 0 0 1 / X M L S c h e m a "   x m l n s : x s i = " h t t p : / / w w w . w 3 . o r g / 2 0 0 1 / X M L S c h e m a - i n s t a n c e " > < C o l u m n S u g g e s t e d T y p e > < i t e m > < k e y > < s t r i n g > R e g i o n < / s t r i n g > < / k e y > < v a l u e > < s t r i n g > W C h a r < / s t r i n g > < / v a l u e > < / i t e m > < i t e m > < k e y > < s t r i n g > C o d e < / s t r i n g > < / k e y > < v a l u e > < s t r i n g > W C h a r < / s t r i n g > < / v a l u e > < / i t e m > < i t e m > < k e y > < s t r i n g > N a m e < / s t r i n g > < / k e y > < v a l u e > < s t r i n g > W C h a r < / s t r i n g > < / v a l u e > < / i t e m > < i t e m > < k e y > < s t r i n g > Y e a r < / s t r i n g > < / k e y > < v a l u e > < s t r i n g > W C h a r < / s t r i n g > < / v a l u e > < / i t e m > < i t e m > < k e y > < s t r i n g > D a t e < / s t r i n g > < / k e y > < v a l u e > < s t r i n g > D a t e < / s t r i n g > < / v a l u e > < / i t e m > < i t e m > < k e y > < s t r i n g > W e e k < / s t r i n g > < / k e y > < v a l u e > < s t r i n g > B i g I n t < / s t r i n g > < / v a l u e > < / i t e m > < i t e m > < k e y > < s t r i n g > D a y < / s t r i n g > < / k e y > < v a l u e > < s t r i n g > W C h a r < / s t r i n g > < / v a l u e > < / i t e m > < i t e m > < k e y > < s t r i n g > W e e k e n d < / s t r i n g > < / k e y > < v a l u e > < s t r i n g > B i g I n t < / s t r i n g > < / v a l u e > < / i t e m > < i t e m > < k e y > < s t r i n g > B a n k   h o l i d a y < / s t r i n g > < / k e y > < v a l u e > < s t r i n g > E m p t y < / s t r i n g > < / v a l u e > < / i t e m > < i t e m > < k e y > < s t r i n g > A   E   c l o s u r e s < / s t r i n g > < / k e y > < v a l u e > < s t r i n g > B i g I n t < / s t r i n g > < / v a l u e > < / i t e m > < i t e m > < k e y > < s t r i n g > A   E   d i v e r t s < / s t r i n g > < / k e y > < v a l u e > < s t r i n g > B i g I n t < / s t r i n g > < / v a l u e > < / i t e m > < i t e m > < k e y > < s t r i n g > G   A   c o r e   b e d s   a v a i l < / s t r i n g > < / k e y > < v a l u e > < s t r i n g > B i g I n t < / s t r i n g > < / v a l u e > < / i t e m > < i t e m > < k e y > < s t r i n g > G   A   e s c a l a t i o n   b e d s   a v a i l < / s t r i n g > < / k e y > < v a l u e > < s t r i n g > B i g I n t < / s t r i n g > < / v a l u e > < / i t e m > < i t e m > < k e y > < s t r i n g > G   A   t o t a l   b e d s   a v a i l < / s t r i n g > < / k e y > < v a l u e > < s t r i n g > B i g I n t < / s t r i n g > < / v a l u e > < / i t e m > < i t e m > < k e y > < s t r i n g > G   A   t o t a l   b e d s   o c c u p i e d < / s t r i n g > < / k e y > < v a l u e > < s t r i n g > B i g I n t < / s t r i n g > < / v a l u e > < / i t e m > < i t e m > < k e y > < s t r i n g > B e d s   o c c   o v e r   7   d a y s < / s t r i n g > < / k e y > < v a l u e > < s t r i n g > B i g I n t < / s t r i n g > < / v a l u e > < / i t e m > < i t e m > < k e y > < s t r i n g > B e d s   o c c   o v e r   2 1   d a y s < / s t r i n g > < / k e y > < v a l u e > < s t r i n g > B i g I n t < / s t r i n g > < / v a l u e > < / i t e m > < i t e m > < k e y > < s t r i n g > B e d s   c l o s e d   n o r o v i r u s < / s t r i n g > < / k e y > < v a l u e > < s t r i n g > B i g I n t < / s t r i n g > < / v a l u e > < / i t e m > < i t e m > < k e y > < s t r i n g > B e d s   c l o s e d   n o r o v i u s   u n o c c < / s t r i n g > < / k e y > < v a l u e > < s t r i n g > B i g I n t < / s t r i n g > < / v a l u e > < / i t e m > < i t e m > < k e y > < s t r i n g > A d u l t   C C   b e d s   a v a i l < / s t r i n g > < / k e y > < v a l u e > < s t r i n g > B i g I n t < / s t r i n g > < / v a l u e > < / i t e m > < i t e m > < k e y > < s t r i n g > A d u l t   C C   b e d s   o c c < / s t r i n g > < / k e y > < v a l u e > < s t r i n g > B i g I n t < / s t r i n g > < / v a l u e > < / i t e m > < i t e m > < k e y > < s t r i n g > P a e d   I n t   C a r e   A v a i l < / s t r i n g > < / k e y > < v a l u e > < s t r i n g > B i g I n t < / s t r i n g > < / v a l u e > < / i t e m > < i t e m > < k e y > < s t r i n g > P a e d   I n t   C a r e   O c c < / s t r i n g > < / k e y > < v a l u e > < s t r i n g > B i g I n t < / s t r i n g > < / v a l u e > < / i t e m > < i t e m > < k e y > < s t r i n g > N e o   I n t   C a r e   A v a i l < / s t r i n g > < / k e y > < v a l u e > < s t r i n g > B i g I n t < / s t r i n g > < / v a l u e > < / i t e m > < i t e m > < k e y > < s t r i n g > N e o   I n t   C a r e   o c c < / s t r i n g > < / k e y > < v a l u e > < s t r i n g > B i g I n t < / s t r i n g > < / v a l u e > < / i t e m > < i t e m > < k e y > < s t r i n g > A m b   a r r i v a l s < / s t r i n g > < / k e y > < v a l u e > < s t r i n g > B i g I n t < / s t r i n g > < / v a l u e > < / i t e m > < i t e m > < k e y > < s t r i n g > A m b   d e l a y s   3 0 - 6 0   m i n s < / s t r i n g > < / k e y > < v a l u e > < s t r i n g > B i g I n t < / s t r i n g > < / v a l u e > < / i t e m > < i t e m > < k e y > < s t r i n g > A m b   d e l a y s   o v e r   6 0   m i n s < / s t r i n g > < / k e y > < v a l u e > < s t r i n g > B i g I n t < / s t r i n g > < / v a l u e > < / i t e m > < i t e m > < k e y > < s t r i n g > B e d s   o c c   o v e r   1 4   d a y s < / s t r i n g > < / k e y > < v a l u e > < s t r i n g > B i g I n t < / s t r i n g > < / v a l u e > < / i t e m > < / C o l u m n S u g g e s t e d T y p e > < C o l u m n F o r m a t   / > < C o l u m n A c c u r a c y   / > < C o l u m n C u r r e n c y S y m b o l   / > < C o l u m n P o s i t i v e P a t t e r n   / > < C o l u m n N e g a t i v e P a t t e r n   / > < C o l u m n W i d t h s > < i t e m > < k e y > < s t r i n g > R e g i o n < / s t r i n g > < / k e y > < v a l u e > < i n t > 8 4 < / i n t > < / v a l u e > < / i t e m > < i t e m > < k e y > < s t r i n g > C o d e < / s t r i n g > < / k e y > < v a l u e > < i n t > 7 3 < / i n t > < / v a l u e > < / i t e m > < i t e m > < k e y > < s t r i n g > N a m e < / s t r i n g > < / k e y > < v a l u e > < i n t > 7 8 < / i n t > < / v a l u e > < / i t e m > < i t e m > < k e y > < s t r i n g > Y e a r < / s t r i n g > < / k e y > < v a l u e > < i n t > 6 7 < / i n t > < / v a l u e > < / i t e m > < i t e m > < k e y > < s t r i n g > D a t e < / s t r i n g > < / k e y > < v a l u e > < i n t > 7 0 < / i n t > < / v a l u e > < / i t e m > < i t e m > < k e y > < s t r i n g > W e e k < / s t r i n g > < / k e y > < v a l u e > < i n t > 7 6 < / i n t > < / v a l u e > < / i t e m > < i t e m > < k e y > < s t r i n g > D a y < / s t r i n g > < / k e y > < v a l u e > < i n t > 6 4 < / i n t > < / v a l u e > < / i t e m > < i t e m > < k e y > < s t r i n g > W e e k e n d < / s t r i n g > < / k e y > < v a l u e > < i n t > 1 0 0 < / i n t > < / v a l u e > < / i t e m > < i t e m > < k e y > < s t r i n g > B a n k   h o l i d a y < / s t r i n g > < / k e y > < v a l u e > < i n t > 1 2 0 < / i n t > < / v a l u e > < / i t e m > < i t e m > < k e y > < s t r i n g > A   E   c l o s u r e s < / s t r i n g > < / k e y > < v a l u e > < i n t > 1 1 4 < / i n t > < / v a l u e > < / i t e m > < i t e m > < k e y > < s t r i n g > A   E   d i v e r t s < / s t r i n g > < / k e y > < v a l u e > < i n t > 1 0 6 < / i n t > < / v a l u e > < / i t e m > < i t e m > < k e y > < s t r i n g > G   A   c o r e   b e d s   a v a i l < / s t r i n g > < / k e y > < v a l u e > < i n t > 1 5 7 < / i n t > < / v a l u e > < / i t e m > < i t e m > < k e y > < s t r i n g > G   A   e s c a l a t i o n   b e d s   a v a i l < / s t r i n g > < / k e y > < v a l u e > < i n t > 1 9 2 < / i n t > < / v a l u e > < / i t e m > < i t e m > < k e y > < s t r i n g > G   A   t o t a l   b e d s   a v a i l < / s t r i n g > < / k e y > < v a l u e > < i n t > 1 5 9 < / i n t > < / v a l u e > < / i t e m > < i t e m > < k e y > < s t r i n g > G   A   t o t a l   b e d s   o c c u p i e d < / s t r i n g > < / k e y > < v a l u e > < i n t > 1 8 6 < / i n t > < / v a l u e > < / i t e m > < i t e m > < k e y > < s t r i n g > B e d s   o c c   o v e r   7   d a y s < / s t r i n g > < / k e y > < v a l u e > < i n t > 1 6 6 < / i n t > < / v a l u e > < / i t e m > < i t e m > < k e y > < s t r i n g > B e d s   o c c   o v e r   2 1   d a y s < / s t r i n g > < / k e y > < v a l u e > < i n t > 1 7 3 < / i n t > < / v a l u e > < / i t e m > < i t e m > < k e y > < s t r i n g > B e d s   c l o s e d   n o r o v i r u s < / s t r i n g > < / k e y > < v a l u e > < i n t > 1 7 6 < / i n t > < / v a l u e > < / i t e m > < i t e m > < k e y > < s t r i n g > B e d s   c l o s e d   n o r o v i u s   u n o c c < / s t r i n g > < / k e y > < v a l u e > < i n t > 2 1 0 < / i n t > < / v a l u e > < / i t e m > < i t e m > < k e y > < s t r i n g > A d u l t   C C   b e d s   a v a i l < / s t r i n g > < / k e y > < v a l u e > < i n t > 1 5 9 < / i n t > < / v a l u e > < / i t e m > < i t e m > < k e y > < s t r i n g > A d u l t   C C   b e d s   o c c < / s t r i n g > < / k e y > < v a l u e > < i n t > 1 5 0 < / i n t > < / v a l u e > < / i t e m > < i t e m > < k e y > < s t r i n g > P a e d   I n t   C a r e   A v a i l < / s t r i n g > < / k e y > < v a l u e > < i n t > 1 5 7 < / i n t > < / v a l u e > < / i t e m > < i t e m > < k e y > < s t r i n g > P a e d   I n t   C a r e   O c c < / s t r i n g > < / k e y > < v a l u e > < i n t > 1 4 8 < / i n t > < / v a l u e > < / i t e m > < i t e m > < k e y > < s t r i n g > N e o   I n t   C a r e   A v a i l < / s t r i n g > < / k e y > < v a l u e > < i n t > 1 5 2 < / i n t > < / v a l u e > < / i t e m > < i t e m > < k e y > < s t r i n g > N e o   I n t   C a r e   o c c < / s t r i n g > < / k e y > < v a l u e > < i n t > 1 4 1 < / i n t > < / v a l u e > < / i t e m > < i t e m > < k e y > < s t r i n g > A m b   a r r i v a l s < / s t r i n g > < / k e y > < v a l u e > < i n t > 1 1 8 < / i n t > < / v a l u e > < / i t e m > < i t e m > < k e y > < s t r i n g > A m b   d e l a y s   3 0 - 6 0   m i n s < / s t r i n g > < / k e y > < v a l u e > < i n t > 1 8 2 < / i n t > < / v a l u e > < / i t e m > < i t e m > < k e y > < s t r i n g > A m b   d e l a y s   o v e r   6 0   m i n s < / s t r i n g > < / k e y > < v a l u e > < i n t > 1 9 4 < / i n t > < / v a l u e > < / i t e m > < i t e m > < k e y > < s t r i n g > B e d s   o c c   o v e r   1 4   d a y s < / s t r i n g > < / k e y > < v a l u e > < i n t > 1 7 3 < / i n t > < / v a l u e > < / i t e m > < / C o l u m n W i d t h s > < C o l u m n D i s p l a y I n d e x > < i t e m > < k e y > < s t r i n g > R e g i o n < / s t r i n g > < / k e y > < v a l u e > < i n t > 0 < / i n t > < / v a l u e > < / i t e m > < i t e m > < k e y > < s t r i n g > C o d e < / s t r i n g > < / k e y > < v a l u e > < i n t > 1 < / i n t > < / v a l u e > < / i t e m > < i t e m > < k e y > < s t r i n g > N a m e < / s t r i n g > < / k e y > < v a l u e > < i n t > 2 < / i n t > < / v a l u e > < / i t e m > < i t e m > < k e y > < s t r i n g > Y e a r < / s t r i n g > < / k e y > < v a l u e > < i n t > 3 < / i n t > < / v a l u e > < / i t e m > < i t e m > < k e y > < s t r i n g > D a t e < / s t r i n g > < / k e y > < v a l u e > < i n t > 4 < / i n t > < / v a l u e > < / i t e m > < i t e m > < k e y > < s t r i n g > W e e k < / s t r i n g > < / k e y > < v a l u e > < i n t > 5 < / i n t > < / v a l u e > < / i t e m > < i t e m > < k e y > < s t r i n g > D a y < / s t r i n g > < / k e y > < v a l u e > < i n t > 6 < / i n t > < / v a l u e > < / i t e m > < i t e m > < k e y > < s t r i n g > W e e k e n d < / s t r i n g > < / k e y > < v a l u e > < i n t > 7 < / i n t > < / v a l u e > < / i t e m > < i t e m > < k e y > < s t r i n g > B a n k   h o l i d a y < / s t r i n g > < / k e y > < v a l u e > < i n t > 8 < / i n t > < / v a l u e > < / i t e m > < i t e m > < k e y > < s t r i n g > A   E   c l o s u r e s < / s t r i n g > < / k e y > < v a l u e > < i n t > 9 < / i n t > < / v a l u e > < / i t e m > < i t e m > < k e y > < s t r i n g > A   E   d i v e r t s < / s t r i n g > < / k e y > < v a l u e > < i n t > 1 0 < / i n t > < / v a l u e > < / i t e m > < i t e m > < k e y > < s t r i n g > G   A   c o r e   b e d s   a v a i l < / s t r i n g > < / k e y > < v a l u e > < i n t > 1 1 < / i n t > < / v a l u e > < / i t e m > < i t e m > < k e y > < s t r i n g > G   A   e s c a l a t i o n   b e d s   a v a i l < / s t r i n g > < / k e y > < v a l u e > < i n t > 1 2 < / i n t > < / v a l u e > < / i t e m > < i t e m > < k e y > < s t r i n g > G   A   t o t a l   b e d s   a v a i l < / s t r i n g > < / k e y > < v a l u e > < i n t > 1 3 < / i n t > < / v a l u e > < / i t e m > < i t e m > < k e y > < s t r i n g > G   A   t o t a l   b e d s   o c c u p i e d < / s t r i n g > < / k e y > < v a l u e > < i n t > 1 4 < / i n t > < / v a l u e > < / i t e m > < i t e m > < k e y > < s t r i n g > B e d s   o c c   o v e r   7   d a y s < / s t r i n g > < / k e y > < v a l u e > < i n t > 1 5 < / i n t > < / v a l u e > < / i t e m > < i t e m > < k e y > < s t r i n g > B e d s   o c c   o v e r   2 1   d a y s < / s t r i n g > < / k e y > < v a l u e > < i n t > 1 6 < / i n t > < / v a l u e > < / i t e m > < i t e m > < k e y > < s t r i n g > B e d s   c l o s e d   n o r o v i r u s < / s t r i n g > < / k e y > < v a l u e > < i n t > 1 7 < / i n t > < / v a l u e > < / i t e m > < i t e m > < k e y > < s t r i n g > B e d s   c l o s e d   n o r o v i u s   u n o c c < / s t r i n g > < / k e y > < v a l u e > < i n t > 1 8 < / i n t > < / v a l u e > < / i t e m > < i t e m > < k e y > < s t r i n g > A d u l t   C C   b e d s   a v a i l < / s t r i n g > < / k e y > < v a l u e > < i n t > 1 9 < / i n t > < / v a l u e > < / i t e m > < i t e m > < k e y > < s t r i n g > A d u l t   C C   b e d s   o c c < / s t r i n g > < / k e y > < v a l u e > < i n t > 2 0 < / i n t > < / v a l u e > < / i t e m > < i t e m > < k e y > < s t r i n g > P a e d   I n t   C a r e   A v a i l < / s t r i n g > < / k e y > < v a l u e > < i n t > 2 1 < / i n t > < / v a l u e > < / i t e m > < i t e m > < k e y > < s t r i n g > P a e d   I n t   C a r e   O c c < / s t r i n g > < / k e y > < v a l u e > < i n t > 2 2 < / i n t > < / v a l u e > < / i t e m > < i t e m > < k e y > < s t r i n g > N e o   I n t   C a r e   A v a i l < / s t r i n g > < / k e y > < v a l u e > < i n t > 2 3 < / i n t > < / v a l u e > < / i t e m > < i t e m > < k e y > < s t r i n g > N e o   I n t   C a r e   o c c < / s t r i n g > < / k e y > < v a l u e > < i n t > 2 4 < / i n t > < / v a l u e > < / i t e m > < i t e m > < k e y > < s t r i n g > A m b   a r r i v a l s < / s t r i n g > < / k e y > < v a l u e > < i n t > 2 5 < / i n t > < / v a l u e > < / i t e m > < i t e m > < k e y > < s t r i n g > A m b   d e l a y s   3 0 - 6 0   m i n s < / s t r i n g > < / k e y > < v a l u e > < i n t > 2 6 < / i n t > < / v a l u e > < / i t e m > < i t e m > < k e y > < s t r i n g > A m b   d e l a y s   o v e r   6 0   m i n s < / s t r i n g > < / k e y > < v a l u e > < i n t > 2 7 < / i n t > < / v a l u e > < / i t e m > < i t e m > < k e y > < s t r i n g > B e d s   o c c   o v e r   1 4   d a y s < / s t r i n g > < / k e y > < v a l u e > < i n t > 2 8 < / i n t > < / v a l u e > < / i t e m > < / C o l u m n D i s p l a y I n d e x > < C o l u m n F r o z e n   / > < C o l u m n C h e c k e d   / > < C o l u m n F i l t e r   / > < S e l e c t i o n F i l t e r   / > < F i l t e r P a r a m e t e r s   / > < I s S o r t D e s c e n d i n g > f a l s e < / I s S o r t D e s c e n d i n g > < / T a b l e W i d g e t G r i d S e r i a l i z a t i o n > ] ] > < / C u s t o m C o n t e n t > < / G e m i n i > 
</file>

<file path=customXml/item69.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 G & a m p ; A   b e d   o c c . < / S l i c e r S h e e t N a m e > < S A H o s t H a s h > 4 4 3 1 6 5 1 6 8 < / S A H o s t H a s h > < G e m i n i F i e l d L i s t V i s i b l e > F a l s e < / G e m i n i F i e l d L i s t V i s i b l e > < / S e t t i n g s > ] ] > < / 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 W i n t e r   b e d   o c c   o v e r   1 4   d a y s 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 W i n t e r   b e d   o c c   o v e r   1 4   d a y s 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 B e d s   o c c   o v e r   1 4   d a y s < / K e y > < / D i a g r a m O b j e c t K e y > < D i a g r a m O b j e c t K e y > < K e y > M e a s u r e s \ S u m   o f   B e d s   o c c   o v e r   1 4   d a y s \ T a g I n f o \ F o r m u l a < / K e y > < / D i a g r a m O b j e c t K e y > < D i a g r a m O b j e c t K e y > < K e y > M e a s u r e s \ S u m   o f   B e d s   o c c   o v e r   1 4   d a y s \ T a g I n f o \ V a l u e < / K e y > < / D i a g r a m O b j e c t K e y > < D i a g r a m O b j e c t K e y > < K e y > C o l u m n s \ R e g i o n < / K e y > < / D i a g r a m O b j e c t K e y > < D i a g r a m O b j e c t K e y > < K e y > C o l u m n s \ C o d e < / K e y > < / D i a g r a m O b j e c t K e y > < D i a g r a m O b j e c t K e y > < K e y > C o l u m n s \ N a m e < / K e y > < / D i a g r a m O b j e c t K e y > < D i a g r a m O b j e c t K e y > < K e y > C o l u m n s \ Y e a r < / K e y > < / D i a g r a m O b j e c t K e y > < D i a g r a m O b j e c t K e y > < K e y > C o l u m n s \ D a t e < / K e y > < / D i a g r a m O b j e c t K e y > < D i a g r a m O b j e c t K e y > < K e y > C o l u m n s \ W e e k < / K e y > < / D i a g r a m O b j e c t K e y > < D i a g r a m O b j e c t K e y > < K e y > C o l u m n s \ D a y < / K e y > < / D i a g r a m O b j e c t K e y > < D i a g r a m O b j e c t K e y > < K e y > C o l u m n s \ W e e k e n d < / K e y > < / D i a g r a m O b j e c t K e y > < D i a g r a m O b j e c t K e y > < K e y > C o l u m n s \ B a n k   h o l i d a y < / K e y > < / D i a g r a m O b j e c t K e y > < D i a g r a m O b j e c t K e y > < K e y > C o l u m n s \ A   E   c l o s u r e s < / K e y > < / D i a g r a m O b j e c t K e y > < D i a g r a m O b j e c t K e y > < K e y > C o l u m n s \ A   E   d i v e r t s < / K e y > < / D i a g r a m O b j e c t K e y > < D i a g r a m O b j e c t K e y > < K e y > C o l u m n s \ G   A   c o r e   b e d s   a v a i l < / K e y > < / D i a g r a m O b j e c t K e y > < D i a g r a m O b j e c t K e y > < K e y > C o l u m n s \ G   A   e s c a l a t i o n   b e d s   a v a i l < / K e y > < / D i a g r a m O b j e c t K e y > < D i a g r a m O b j e c t K e y > < K e y > C o l u m n s \ G   A   t o t a l   b e d s   a v a i l < / K e y > < / D i a g r a m O b j e c t K e y > < D i a g r a m O b j e c t K e y > < K e y > C o l u m n s \ G   A   t o t a l   b e d s   o c c u p i e d < / K e y > < / D i a g r a m O b j e c t K e y > < D i a g r a m O b j e c t K e y > < K e y > C o l u m n s \ B e d s   o c c   o v e r   7   d a y s < / K e y > < / D i a g r a m O b j e c t K e y > < D i a g r a m O b j e c t K e y > < K e y > C o l u m n s \ B e d s   o c c   o v e r   2 1   d a y s < / K e y > < / D i a g r a m O b j e c t K e y > < D i a g r a m O b j e c t K e y > < K e y > C o l u m n s \ B e d s   c l o s e d   n o r o v i r u s < / K e y > < / D i a g r a m O b j e c t K e y > < D i a g r a m O b j e c t K e y > < K e y > C o l u m n s \ B e d s   c l o s e d   n o r o v i u s   u n o c c < / K e y > < / D i a g r a m O b j e c t K e y > < D i a g r a m O b j e c t K e y > < K e y > C o l u m n s \ A d u l t   C C   b e d s   a v a i l < / K e y > < / D i a g r a m O b j e c t K e y > < D i a g r a m O b j e c t K e y > < K e y > C o l u m n s \ A d u l t   C C   b e d s   o c c < / K e y > < / D i a g r a m O b j e c t K e y > < D i a g r a m O b j e c t K e y > < K e y > C o l u m n s \ P a e d   I n t   C a r e   A v a i l < / K e y > < / D i a g r a m O b j e c t K e y > < D i a g r a m O b j e c t K e y > < K e y > C o l u m n s \ P a e d   I n t   C a r e   O c c < / K e y > < / D i a g r a m O b j e c t K e y > < D i a g r a m O b j e c t K e y > < K e y > C o l u m n s \ N e o   I n t   C a r e   A v a i l < / K e y > < / D i a g r a m O b j e c t K e y > < D i a g r a m O b j e c t K e y > < K e y > C o l u m n s \ N e o   I n t   C a r e   o c c < / K e y > < / D i a g r a m O b j e c t K e y > < D i a g r a m O b j e c t K e y > < K e y > C o l u m n s \ A m b   a r r i v a l s < / K e y > < / D i a g r a m O b j e c t K e y > < D i a g r a m O b j e c t K e y > < K e y > C o l u m n s \ A m b   d e l a y s   3 0 - 6 0   m i n s < / K e y > < / D i a g r a m O b j e c t K e y > < D i a g r a m O b j e c t K e y > < K e y > C o l u m n s \ A m b   d e l a y s   o v e r   6 0   m i n s < / K e y > < / D i a g r a m O b j e c t K e y > < D i a g r a m O b j e c t K e y > < K e y > C o l u m n s \ B e d s   o c c   o v e r   1 4   d a y s < / K e y > < / D i a g r a m O b j e c t K e y > < D i a g r a m O b j e c t K e y > < K e y > L i n k s \ & l t ; C o l u m n s \ S u m   o f   B e d s   o c c   o v e r   1 4   d a y s & g t ; - & l t ; M e a s u r e s \ B e d s   o c c   o v e r   1 4   d a y s & g t ; < / K e y > < / D i a g r a m O b j e c t K e y > < D i a g r a m O b j e c t K e y > < K e y > L i n k s \ & l t ; C o l u m n s \ S u m   o f   B e d s   o c c   o v e r   1 4   d a y s & g t ; - & l t ; M e a s u r e s \ B e d s   o c c   o v e r   1 4   d a y s & g t ; \ C O L U M N < / K e y > < / D i a g r a m O b j e c t K e y > < D i a g r a m O b j e c t K e y > < K e y > L i n k s \ & l t ; C o l u m n s \ S u m   o f   B e d s   o c c   o v e r   1 4   d a y s & g t ; - & l t ; M e a s u r e s \ B e d s   o c c   o v e r   1 4   d a y s & g t ; \ M E A S U R E 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 B e d s   o c c   o v e r   1 4   d a y s < / K e y > < / a : K e y > < a : V a l u e   i : t y p e = " M e a s u r e G r i d N o d e V i e w S t a t e " > < C o l u m n > 2 8 < / C o l u m n > < L a y e d O u t > t r u e < / L a y e d O u t > < W a s U I I n v i s i b l e > t r u e < / W a s U I I n v i s i b l e > < / a : V a l u e > < / a : K e y V a l u e O f D i a g r a m O b j e c t K e y a n y T y p e z b w N T n L X > < a : K e y V a l u e O f D i a g r a m O b j e c t K e y a n y T y p e z b w N T n L X > < a : K e y > < K e y > M e a s u r e s \ S u m   o f   B e d s   o c c   o v e r   1 4   d a y s \ T a g I n f o \ F o r m u l a < / K e y > < / a : K e y > < a : V a l u e   i : t y p e = " M e a s u r e G r i d V i e w S t a t e I D i a g r a m T a g A d d i t i o n a l I n f o " / > < / a : K e y V a l u e O f D i a g r a m O b j e c t K e y a n y T y p e z b w N T n L X > < a : K e y V a l u e O f D i a g r a m O b j e c t K e y a n y T y p e z b w N T n L X > < a : K e y > < K e y > M e a s u r e s \ S u m   o f   B e d s   o c c   o v e r   1 4   d a y s \ T a g I n f o \ V a l u e < / K e y > < / a : K e y > < a : V a l u e   i : t y p e = " M e a s u r e G r i d V i e w S t a t e I D i a g r a m T a g A d d i t i o n a l I n f o " / > < / a : K e y V a l u e O f D i a g r a m O b j e c t K e y a n y T y p e z b w N T n L X > < a : K e y V a l u e O f D i a g r a m O b j e c t K e y a n y T y p e z b w N T n L X > < a : K e y > < K e y > C o l u m n s \ R e g i o n < / K e y > < / a : K e y > < a : V a l u e   i : t y p e = " M e a s u r e G r i d N o d e V i e w S t a t e " > < L a y e d O u t > t r u e < / L a y e d O u t > < / a : V a l u e > < / a : K e y V a l u e O f D i a g r a m O b j e c t K e y a n y T y p e z b w N T n L X > < a : K e y V a l u e O f D i a g r a m O b j e c t K e y a n y T y p e z b w N T n L X > < a : K e y > < K e y > C o l u m n s \ C o d e < / K e y > < / a : K e y > < a : V a l u e   i : t y p e = " M e a s u r e G r i d N o d e V i e w S t a t e " > < C o l u m n > 1 < / C o l u m n > < L a y e d O u t > t r u e < / L a y e d O u t > < / a : V a l u e > < / a : K e y V a l u e O f D i a g r a m O b j e c t K e y a n y T y p e z b w N T n L X > < a : K e y V a l u e O f D i a g r a m O b j e c t K e y a n y T y p e z b w N T n L X > < a : K e y > < K e y > C o l u m n s \ N a m e < / 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 C o l u m n s \ D a t e < / K e y > < / a : K e y > < a : V a l u e   i : t y p e = " M e a s u r e G r i d N o d e V i e w S t a t e " > < C o l u m n > 4 < / C o l u m n > < L a y e d O u t > t r u e < / L a y e d O u t > < / a : V a l u e > < / a : K e y V a l u e O f D i a g r a m O b j e c t K e y a n y T y p e z b w N T n L X > < a : K e y V a l u e O f D i a g r a m O b j e c t K e y a n y T y p e z b w N T n L X > < a : K e y > < K e y > C o l u m n s \ W e e k < / K e y > < / a : K e y > < a : V a l u e   i : t y p e = " M e a s u r e G r i d N o d e V i e w S t a t e " > < C o l u m n > 5 < / C o l u m n > < L a y e d O u t > t r u e < / L a y e d O u t > < / a : V a l u e > < / a : K e y V a l u e O f D i a g r a m O b j e c t K e y a n y T y p e z b w N T n L X > < a : K e y V a l u e O f D i a g r a m O b j e c t K e y a n y T y p e z b w N T n L X > < a : K e y > < K e y > C o l u m n s \ D a y < / K e y > < / a : K e y > < a : V a l u e   i : t y p e = " M e a s u r e G r i d N o d e V i e w S t a t e " > < C o l u m n > 6 < / C o l u m n > < L a y e d O u t > t r u e < / L a y e d O u t > < / a : V a l u e > < / a : K e y V a l u e O f D i a g r a m O b j e c t K e y a n y T y p e z b w N T n L X > < a : K e y V a l u e O f D i a g r a m O b j e c t K e y a n y T y p e z b w N T n L X > < a : K e y > < K e y > C o l u m n s \ W e e k e n d < / K e y > < / a : K e y > < a : V a l u e   i : t y p e = " M e a s u r e G r i d N o d e V i e w S t a t e " > < C o l u m n > 7 < / C o l u m n > < L a y e d O u t > t r u e < / L a y e d O u t > < / a : V a l u e > < / a : K e y V a l u e O f D i a g r a m O b j e c t K e y a n y T y p e z b w N T n L X > < a : K e y V a l u e O f D i a g r a m O b j e c t K e y a n y T y p e z b w N T n L X > < a : K e y > < K e y > C o l u m n s \ B a n k   h o l i d a y < / K e y > < / a : K e y > < a : V a l u e   i : t y p e = " M e a s u r e G r i d N o d e V i e w S t a t e " > < C o l u m n > 8 < / C o l u m n > < L a y e d O u t > t r u e < / L a y e d O u t > < / a : V a l u e > < / a : K e y V a l u e O f D i a g r a m O b j e c t K e y a n y T y p e z b w N T n L X > < a : K e y V a l u e O f D i a g r a m O b j e c t K e y a n y T y p e z b w N T n L X > < a : K e y > < K e y > C o l u m n s \ A   E   c l o s u r e s < / K e y > < / a : K e y > < a : V a l u e   i : t y p e = " M e a s u r e G r i d N o d e V i e w S t a t e " > < C o l u m n > 9 < / C o l u m n > < L a y e d O u t > t r u e < / L a y e d O u t > < / a : V a l u e > < / a : K e y V a l u e O f D i a g r a m O b j e c t K e y a n y T y p e z b w N T n L X > < a : K e y V a l u e O f D i a g r a m O b j e c t K e y a n y T y p e z b w N T n L X > < a : K e y > < K e y > C o l u m n s \ A   E   d i v e r t s < / K e y > < / a : K e y > < a : V a l u e   i : t y p e = " M e a s u r e G r i d N o d e V i e w S t a t e " > < C o l u m n > 1 0 < / C o l u m n > < L a y e d O u t > t r u e < / L a y e d O u t > < / a : V a l u e > < / a : K e y V a l u e O f D i a g r a m O b j e c t K e y a n y T y p e z b w N T n L X > < a : K e y V a l u e O f D i a g r a m O b j e c t K e y a n y T y p e z b w N T n L X > < a : K e y > < K e y > C o l u m n s \ G   A   c o r e   b e d s   a v a i l < / K e y > < / a : K e y > < a : V a l u e   i : t y p e = " M e a s u r e G r i d N o d e V i e w S t a t e " > < C o l u m n > 1 1 < / C o l u m n > < L a y e d O u t > t r u e < / L a y e d O u t > < / a : V a l u e > < / a : K e y V a l u e O f D i a g r a m O b j e c t K e y a n y T y p e z b w N T n L X > < a : K e y V a l u e O f D i a g r a m O b j e c t K e y a n y T y p e z b w N T n L X > < a : K e y > < K e y > C o l u m n s \ G   A   e s c a l a t i o n   b e d s   a v a i l < / K e y > < / a : K e y > < a : V a l u e   i : t y p e = " M e a s u r e G r i d N o d e V i e w S t a t e " > < C o l u m n > 1 2 < / C o l u m n > < L a y e d O u t > t r u e < / L a y e d O u t > < / a : V a l u e > < / a : K e y V a l u e O f D i a g r a m O b j e c t K e y a n y T y p e z b w N T n L X > < a : K e y V a l u e O f D i a g r a m O b j e c t K e y a n y T y p e z b w N T n L X > < a : K e y > < K e y > C o l u m n s \ G   A   t o t a l   b e d s   a v a i l < / K e y > < / a : K e y > < a : V a l u e   i : t y p e = " M e a s u r e G r i d N o d e V i e w S t a t e " > < C o l u m n > 1 3 < / C o l u m n > < L a y e d O u t > t r u e < / L a y e d O u t > < / a : V a l u e > < / a : K e y V a l u e O f D i a g r a m O b j e c t K e y a n y T y p e z b w N T n L X > < a : K e y V a l u e O f D i a g r a m O b j e c t K e y a n y T y p e z b w N T n L X > < a : K e y > < K e y > C o l u m n s \ G   A   t o t a l   b e d s   o c c u p i e d < / K e y > < / a : K e y > < a : V a l u e   i : t y p e = " M e a s u r e G r i d N o d e V i e w S t a t e " > < C o l u m n > 1 4 < / C o l u m n > < L a y e d O u t > t r u e < / L a y e d O u t > < / a : V a l u e > < / a : K e y V a l u e O f D i a g r a m O b j e c t K e y a n y T y p e z b w N T n L X > < a : K e y V a l u e O f D i a g r a m O b j e c t K e y a n y T y p e z b w N T n L X > < a : K e y > < K e y > C o l u m n s \ B e d s   o c c   o v e r   7   d a y s < / K e y > < / a : K e y > < a : V a l u e   i : t y p e = " M e a s u r e G r i d N o d e V i e w S t a t e " > < C o l u m n > 1 5 < / C o l u m n > < L a y e d O u t > t r u e < / L a y e d O u t > < / a : V a l u e > < / a : K e y V a l u e O f D i a g r a m O b j e c t K e y a n y T y p e z b w N T n L X > < a : K e y V a l u e O f D i a g r a m O b j e c t K e y a n y T y p e z b w N T n L X > < a : K e y > < K e y > C o l u m n s \ B e d s   o c c   o v e r   2 1   d a y s < / K e y > < / a : K e y > < a : V a l u e   i : t y p e = " M e a s u r e G r i d N o d e V i e w S t a t e " > < C o l u m n > 1 6 < / C o l u m n > < L a y e d O u t > t r u e < / L a y e d O u t > < / a : V a l u e > < / a : K e y V a l u e O f D i a g r a m O b j e c t K e y a n y T y p e z b w N T n L X > < a : K e y V a l u e O f D i a g r a m O b j e c t K e y a n y T y p e z b w N T n L X > < a : K e y > < K e y > C o l u m n s \ B e d s   c l o s e d   n o r o v i r u s < / K e y > < / a : K e y > < a : V a l u e   i : t y p e = " M e a s u r e G r i d N o d e V i e w S t a t e " > < C o l u m n > 1 7 < / C o l u m n > < L a y e d O u t > t r u e < / L a y e d O u t > < / a : V a l u e > < / a : K e y V a l u e O f D i a g r a m O b j e c t K e y a n y T y p e z b w N T n L X > < a : K e y V a l u e O f D i a g r a m O b j e c t K e y a n y T y p e z b w N T n L X > < a : K e y > < K e y > C o l u m n s \ B e d s   c l o s e d   n o r o v i u s   u n o c c < / K e y > < / a : K e y > < a : V a l u e   i : t y p e = " M e a s u r e G r i d N o d e V i e w S t a t e " > < C o l u m n > 1 8 < / C o l u m n > < L a y e d O u t > t r u e < / L a y e d O u t > < / a : V a l u e > < / a : K e y V a l u e O f D i a g r a m O b j e c t K e y a n y T y p e z b w N T n L X > < a : K e y V a l u e O f D i a g r a m O b j e c t K e y a n y T y p e z b w N T n L X > < a : K e y > < K e y > C o l u m n s \ A d u l t   C C   b e d s   a v a i l < / K e y > < / a : K e y > < a : V a l u e   i : t y p e = " M e a s u r e G r i d N o d e V i e w S t a t e " > < C o l u m n > 1 9 < / C o l u m n > < L a y e d O u t > t r u e < / L a y e d O u t > < / a : V a l u e > < / a : K e y V a l u e O f D i a g r a m O b j e c t K e y a n y T y p e z b w N T n L X > < a : K e y V a l u e O f D i a g r a m O b j e c t K e y a n y T y p e z b w N T n L X > < a : K e y > < K e y > C o l u m n s \ A d u l t   C C   b e d s   o c c < / K e y > < / a : K e y > < a : V a l u e   i : t y p e = " M e a s u r e G r i d N o d e V i e w S t a t e " > < C o l u m n > 2 0 < / C o l u m n > < L a y e d O u t > t r u e < / L a y e d O u t > < / a : V a l u e > < / a : K e y V a l u e O f D i a g r a m O b j e c t K e y a n y T y p e z b w N T n L X > < a : K e y V a l u e O f D i a g r a m O b j e c t K e y a n y T y p e z b w N T n L X > < a : K e y > < K e y > C o l u m n s \ P a e d   I n t   C a r e   A v a i l < / K e y > < / a : K e y > < a : V a l u e   i : t y p e = " M e a s u r e G r i d N o d e V i e w S t a t e " > < C o l u m n > 2 1 < / C o l u m n > < L a y e d O u t > t r u e < / L a y e d O u t > < / a : V a l u e > < / a : K e y V a l u e O f D i a g r a m O b j e c t K e y a n y T y p e z b w N T n L X > < a : K e y V a l u e O f D i a g r a m O b j e c t K e y a n y T y p e z b w N T n L X > < a : K e y > < K e y > C o l u m n s \ P a e d   I n t   C a r e   O c c < / K e y > < / a : K e y > < a : V a l u e   i : t y p e = " M e a s u r e G r i d N o d e V i e w S t a t e " > < C o l u m n > 2 2 < / C o l u m n > < L a y e d O u t > t r u e < / L a y e d O u t > < / a : V a l u e > < / a : K e y V a l u e O f D i a g r a m O b j e c t K e y a n y T y p e z b w N T n L X > < a : K e y V a l u e O f D i a g r a m O b j e c t K e y a n y T y p e z b w N T n L X > < a : K e y > < K e y > C o l u m n s \ N e o   I n t   C a r e   A v a i l < / K e y > < / a : K e y > < a : V a l u e   i : t y p e = " M e a s u r e G r i d N o d e V i e w S t a t e " > < C o l u m n > 2 3 < / C o l u m n > < L a y e d O u t > t r u e < / L a y e d O u t > < / a : V a l u e > < / a : K e y V a l u e O f D i a g r a m O b j e c t K e y a n y T y p e z b w N T n L X > < a : K e y V a l u e O f D i a g r a m O b j e c t K e y a n y T y p e z b w N T n L X > < a : K e y > < K e y > C o l u m n s \ N e o   I n t   C a r e   o c c < / K e y > < / a : K e y > < a : V a l u e   i : t y p e = " M e a s u r e G r i d N o d e V i e w S t a t e " > < C o l u m n > 2 4 < / C o l u m n > < L a y e d O u t > t r u e < / L a y e d O u t > < / a : V a l u e > < / a : K e y V a l u e O f D i a g r a m O b j e c t K e y a n y T y p e z b w N T n L X > < a : K e y V a l u e O f D i a g r a m O b j e c t K e y a n y T y p e z b w N T n L X > < a : K e y > < K e y > C o l u m n s \ A m b   a r r i v a l s < / K e y > < / a : K e y > < a : V a l u e   i : t y p e = " M e a s u r e G r i d N o d e V i e w S t a t e " > < C o l u m n > 2 5 < / C o l u m n > < L a y e d O u t > t r u e < / L a y e d O u t > < / a : V a l u e > < / a : K e y V a l u e O f D i a g r a m O b j e c t K e y a n y T y p e z b w N T n L X > < a : K e y V a l u e O f D i a g r a m O b j e c t K e y a n y T y p e z b w N T n L X > < a : K e y > < K e y > C o l u m n s \ A m b   d e l a y s   3 0 - 6 0   m i n s < / K e y > < / a : K e y > < a : V a l u e   i : t y p e = " M e a s u r e G r i d N o d e V i e w S t a t e " > < C o l u m n > 2 6 < / C o l u m n > < L a y e d O u t > t r u e < / L a y e d O u t > < / a : V a l u e > < / a : K e y V a l u e O f D i a g r a m O b j e c t K e y a n y T y p e z b w N T n L X > < a : K e y V a l u e O f D i a g r a m O b j e c t K e y a n y T y p e z b w N T n L X > < a : K e y > < K e y > C o l u m n s \ A m b   d e l a y s   o v e r   6 0   m i n s < / K e y > < / a : K e y > < a : V a l u e   i : t y p e = " M e a s u r e G r i d N o d e V i e w S t a t e " > < C o l u m n > 2 7 < / C o l u m n > < L a y e d O u t > t r u e < / L a y e d O u t > < / a : V a l u e > < / a : K e y V a l u e O f D i a g r a m O b j e c t K e y a n y T y p e z b w N T n L X > < a : K e y V a l u e O f D i a g r a m O b j e c t K e y a n y T y p e z b w N T n L X > < a : K e y > < K e y > C o l u m n s \ B e d s   o c c   o v e r   1 4   d a y s < / K e y > < / a : K e y > < a : V a l u e   i : t y p e = " M e a s u r e G r i d N o d e V i e w S t a t e " > < C o l u m n > 2 8 < / C o l u m n > < L a y e d O u t > t r u e < / L a y e d O u t > < / a : V a l u e > < / a : K e y V a l u e O f D i a g r a m O b j e c t K e y a n y T y p e z b w N T n L X > < a : K e y V a l u e O f D i a g r a m O b j e c t K e y a n y T y p e z b w N T n L X > < a : K e y > < K e y > L i n k s \ & l t ; C o l u m n s \ S u m   o f   B e d s   o c c   o v e r   1 4   d a y s & g t ; - & l t ; M e a s u r e s \ B e d s   o c c   o v e r   1 4   d a y s & g t ; < / K e y > < / a : K e y > < a : V a l u e   i : t y p e = " M e a s u r e G r i d V i e w S t a t e I D i a g r a m L i n k " / > < / a : K e y V a l u e O f D i a g r a m O b j e c t K e y a n y T y p e z b w N T n L X > < a : K e y V a l u e O f D i a g r a m O b j e c t K e y a n y T y p e z b w N T n L X > < a : K e y > < K e y > L i n k s \ & l t ; C o l u m n s \ S u m   o f   B e d s   o c c   o v e r   1 4   d a y s & g t ; - & l t ; M e a s u r e s \ B e d s   o c c   o v e r   1 4   d a y s & g t ; \ C O L U M N < / K e y > < / a : K e y > < a : V a l u e   i : t y p e = " M e a s u r e G r i d V i e w S t a t e I D i a g r a m L i n k E n d p o i n t " / > < / a : K e y V a l u e O f D i a g r a m O b j e c t K e y a n y T y p e z b w N T n L X > < a : K e y V a l u e O f D i a g r a m O b j e c t K e y a n y T y p e z b w N T n L X > < a : K e y > < K e y > L i n k s \ & l t ; C o l u m n s \ S u m   o f   B e d s   o c c   o v e r   1 4   d a y s & g t ; - & l t ; M e a s u r e s \ B e d s   o c c   o v e r   1 4   d a y s & g t ; \ M E A S U R E 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 T a g s \ T a b l e s \ & l t ; T a b l e s \ W i n t e r   d a i l y   s i t r e p s & g t ; < / K e y > < / D i a g r a m O b j e c t K e y > < D i a g r a m O b j e c t K e y > < K e y > D y n a m i c   T a g s \ T a b l e s \ & l t ; T a b l e s \ W i n t e r   b e d   o c c   o v e r   1 4   d a y s & g t ; < / K e y > < / D i a g r a m O b j e c t K e y > < D i a g r a m O b j e c t K e y > < K e y > D y n a m i c   T a g s \ T a b l e s \ & l t ; T a b l e s \ C O V I D - 1 9   d a i l y   d i s c h a r g e   s i t r e p s & g t ; < / K e y > < / D i a g r a m O b j e c t K e y > < D i a g r a m O b j e c t K e y > < K e y > T a b l e s \ W i n t e r   d a i l y   s i t r e p s < / K e y > < / D i a g r a m O b j e c t K e y > < D i a g r a m O b j e c t K e y > < K e y > T a b l e s \ W i n t e r   d a i l y   s i t r e p s \ C o l u m n s \ I D < / K e y > < / D i a g r a m O b j e c t K e y > < D i a g r a m O b j e c t K e y > < K e y > T a b l e s \ W i n t e r   d a i l y   s i t r e p s \ C o l u m n s \ c r i _ i d < / K e y > < / D i a g r a m O b j e c t K e y > < D i a g r a m O b j e c t K e y > < K e y > T a b l e s \ W i n t e r   d a i l y   s i t r e p s \ C o l u m n s \ d r _ i d < / K e y > < / D i a g r a m O b j e c t K e y > < D i a g r a m O b j e c t K e y > < K e y > T a b l e s \ W i n t e r   d a i l y   s i t r e p s \ C o l u m n s \ o r g _ i d < / K e y > < / D i a g r a m O b j e c t K e y > < D i a g r a m O b j e c t K e y > < K e y > T a b l e s \ W i n t e r   d a i l y   s i t r e p s \ C o l u m n s \ c r i _ d a t a p e r i o d s t a r t < / K e y > < / D i a g r a m O b j e c t K e y > < D i a g r a m O b j e c t K e y > < K e y > T a b l e s \ W i n t e r   d a i l y   s i t r e p s \ C o l u m n s \ C o d e < / K e y > < / D i a g r a m O b j e c t K e y > < D i a g r a m O b j e c t K e y > < K e y > T a b l e s \ W i n t e r   d a i l y   s i t r e p s \ C o l u m n s \ N a m e < / K e y > < / D i a g r a m O b j e c t K e y > < D i a g r a m O b j e c t K e y > < K e y > T a b l e s \ W i n t e r   d a i l y   s i t r e p s \ C o l u m n s \ D a t e < / K e y > < / D i a g r a m O b j e c t K e y > < D i a g r a m O b j e c t K e y > < K e y > T a b l e s \ W i n t e r   d a i l y   s i t r e p s \ C o l u m n s \ W e e k < / K e y > < / D i a g r a m O b j e c t K e y > < D i a g r a m O b j e c t K e y > < K e y > T a b l e s \ W i n t e r   d a i l y   s i t r e p s \ C o l u m n s \ D a y < / K e y > < / D i a g r a m O b j e c t K e y > < D i a g r a m O b j e c t K e y > < K e y > T a b l e s \ W i n t e r   d a i l y   s i t r e p s \ C o l u m n s \ B a n k   h o l i d a y < / K e y > < / D i a g r a m O b j e c t K e y > < D i a g r a m O b j e c t K e y > < K e y > T a b l e s \ W i n t e r   d a i l y   s i t r e p s \ C o l u m n s \ A E   c l o s u r e s < / K e y > < / D i a g r a m O b j e c t K e y > < D i a g r a m O b j e c t K e y > < K e y > T a b l e s \ W i n t e r   d a i l y   s i t r e p s \ C o l u m n s \ A E   d i v e r t s < / K e y > < / D i a g r a m O b j e c t K e y > < D i a g r a m O b j e c t K e y > < K e y > T a b l e s \ W i n t e r   d a i l y   s i t r e p s \ C o l u m n s \ A E   t y p e   1   a t t e n d a n c e s < / K e y > < / D i a g r a m O b j e c t K e y > < D i a g r a m O b j e c t K e y > < K e y > T a b l e s \ W i n t e r   d a i l y   s i t r e p s \ C o l u m n s \ A E   t y p e   2   a t t e n d a n c e s < / K e y > < / D i a g r a m O b j e c t K e y > < D i a g r a m O b j e c t K e y > < K e y > T a b l e s \ W i n t e r   d a i l y   s i t r e p s \ C o l u m n s \ A E   t y p e   3   a t t e n d a n c e s < / K e y > < / D i a g r a m O b j e c t K e y > < D i a g r a m O b j e c t K e y > < K e y > T a b l e s \ W i n t e r   d a i l y   s i t r e p s \ C o l u m n s \ A E   t o t a l   a t t e n d a n c e s < / K e y > < / D i a g r a m O b j e c t K e y > < D i a g r a m O b j e c t K e y > < K e y > T a b l e s \ W i n t e r   d a i l y   s i t r e p s \ C o l u m n s \ E m e r g e n c y   a d m i s s i o n s < / K e y > < / D i a g r a m O b j e c t K e y > < D i a g r a m O b j e c t K e y > < K e y > T a b l e s \ W i n t e r   d a i l y   s i t r e p s \ C o l u m n s \ G A   c o r e   b e d s   a v a i l < / K e y > < / D i a g r a m O b j e c t K e y > < D i a g r a m O b j e c t K e y > < K e y > T a b l e s \ W i n t e r   d a i l y   s i t r e p s \ C o l u m n s \ G A   e s c a l a t i o n   b e d s   a v a i l < / K e y > < / D i a g r a m O b j e c t K e y > < D i a g r a m O b j e c t K e y > < K e y > T a b l e s \ W i n t e r   d a i l y   s i t r e p s \ C o l u m n s \ G A   t o t a l   b e d s   a v a i l < / K e y > < / D i a g r a m O b j e c t K e y > < D i a g r a m O b j e c t K e y > < K e y > T a b l e s \ W i n t e r   d a i l y   s i t r e p s \ C o l u m n s \ G A   t o t a l   b e d s   o c c u p i e d < / K e y > < / D i a g r a m O b j e c t K e y > < D i a g r a m O b j e c t K e y > < K e y > T a b l e s \ W i n t e r   d a i l y   s i t r e p s \ C o l u m n s \ B e d s   c l o s e d   n o r o v i r u s < / K e y > < / D i a g r a m O b j e c t K e y > < D i a g r a m O b j e c t K e y > < K e y > T a b l e s \ W i n t e r   d a i l y   s i t r e p s \ C o l u m n s \ B e d s   c l o s e d   n o r o v i u s   u n o c c < / K e y > < / D i a g r a m O b j e c t K e y > < D i a g r a m O b j e c t K e y > < K e y > T a b l e s \ W i n t e r   d a i l y   s i t r e p s \ C o l u m n s \ A d u l t   C C   b e d s   a v a i l < / K e y > < / D i a g r a m O b j e c t K e y > < D i a g r a m O b j e c t K e y > < K e y > T a b l e s \ W i n t e r   d a i l y   s i t r e p s \ C o l u m n s \ A d u l t   C C   b e d s   o c c < / K e y > < / D i a g r a m O b j e c t K e y > < D i a g r a m O b j e c t K e y > < K e y > T a b l e s \ W i n t e r   d a i l y   s i t r e p s \ C o l u m n s \ P a e d   I n t   C a r e   A v a i l < / K e y > < / D i a g r a m O b j e c t K e y > < D i a g r a m O b j e c t K e y > < K e y > T a b l e s \ W i n t e r   d a i l y   s i t r e p s \ C o l u m n s \ P a e d   I n t   C a r e   O c c < / K e y > < / D i a g r a m O b j e c t K e y > < D i a g r a m O b j e c t K e y > < K e y > T a b l e s \ W i n t e r   d a i l y   s i t r e p s \ C o l u m n s \ N e o   I n t   C a r e   A v a i l < / K e y > < / D i a g r a m O b j e c t K e y > < D i a g r a m O b j e c t K e y > < K e y > T a b l e s \ W i n t e r   d a i l y   s i t r e p s \ C o l u m n s \ N e o   I n t   C a r e   o c c < / K e y > < / D i a g r a m O b j e c t K e y > < D i a g r a m O b j e c t K e y > < K e y > T a b l e s \ W i n t e r   d a i l y   s i t r e p s \ C o l u m n s \ O P E L   3   o r   a b o v e < / K e y > < / D i a g r a m O b j e c t K e y > < D i a g r a m O b j e c t K e y > < K e y > T a b l e s \ W i n t e r   d a i l y   s i t r e p s \ C o l u m n s \ W e e k e n d < / K e y > < / D i a g r a m O b j e c t K e y > < D i a g r a m O b j e c t K e y > < K e y > T a b l e s \ W i n t e r   d a i l y   s i t r e p s \ C o l u m n s \ R e g i o n < / K e y > < / D i a g r a m O b j e c t K e y > < D i a g r a m O b j e c t K e y > < K e y > T a b l e s \ W i n t e r   d a i l y   s i t r e p s \ C o l u m n s \ Y e a r < / K e y > < / D i a g r a m O b j e c t K e y > < D i a g r a m O b j e c t K e y > < K e y > T a b l e s \ W i n t e r   d a i l y   s i t r e p s \ C o l u m n s \ B e d s   o c c   o v e r   7   d a y s < / K e y > < / D i a g r a m O b j e c t K e y > < D i a g r a m O b j e c t K e y > < K e y > T a b l e s \ W i n t e r   d a i l y   s i t r e p s \ C o l u m n s \ B e d s   o c c   o v e r   2 1   d a y s < / K e y > < / D i a g r a m O b j e c t K e y > < D i a g r a m O b j e c t K e y > < K e y > T a b l e s \ W i n t e r   d a i l y   s i t r e p s \ C o l u m n s \ A m b   a r r i v a l s < / K e y > < / D i a g r a m O b j e c t K e y > < D i a g r a m O b j e c t K e y > < K e y > T a b l e s \ W i n t e r   d a i l y   s i t r e p s \ C o l u m n s \ A m b   d e l a y s   3 0 - 6 0   m i n s < / K e y > < / D i a g r a m O b j e c t K e y > < D i a g r a m O b j e c t K e y > < K e y > T a b l e s \ W i n t e r   d a i l y   s i t r e p s \ C o l u m n s \ A m b   d e l a y s   o v e r   6 0   m i n s < / K e y > < / D i a g r a m O b j e c t K e y > < D i a g r a m O b j e c t K e y > < K e y > T a b l e s \ W i n t e r   d a i l y   s i t r e p s \ C o l u m n s \ W e e k   l o n g < / K e y > < / D i a g r a m O b j e c t K e y > < D i a g r a m O b j e c t K e y > < K e y > T a b l e s \ W i n t e r   d a i l y   s i t r e p s \ C o l u m n s \ G A   b e d   o c c u p a n c y < / K e y > < / D i a g r a m O b j e c t K e y > < D i a g r a m O b j e c t K e y > < K e y > T a b l e s \ W i n t e r   d a i l y   s i t r e p s \ C o l u m n s \ B e d s   o c c   o v e r   1 4   d a y s < / K e y > < / D i a g r a m O b j e c t K e y > < D i a g r a m O b j e c t K e y > < K e y > T a b l e s \ W i n t e r   d a i l y   s i t r e p s \ C o l u m n s \ G A   f l u   b e d s < / K e y > < / D i a g r a m O b j e c t K e y > < D i a g r a m O b j e c t K e y > < K e y > T a b l e s \ W i n t e r   d a i l y   s i t r e p s \ C o l u m n s \ C C   f l u   b e d s < / K e y > < / D i a g r a m O b j e c t K e y > < D i a g r a m O b j e c t K e y > < K e y > T a b l e s \ W i n t e r   d a i l y   s i t r e p s \ C o l u m n s \ P a e d s   R S V   b e d s   c l o s e d < / K e y > < / D i a g r a m O b j e c t K e y > < D i a g r a m O b j e c t K e y > < K e y > T a b l e s \ W i n t e r   d a i l y   s i t r e p s \ C o l u m n s \ P a e d s   R S V   b e d s   c l o s e d   u n o c c < / K e y > < / D i a g r a m O b j e c t K e y > < D i a g r a m O b j e c t K e y > < K e y > T a b l e s \ W i n t e r   d a i l y   s i t r e p s \ M e a s u r e s \ S u m   o f   A E   d i v e r t s < / K e y > < / D i a g r a m O b j e c t K e y > < D i a g r a m O b j e c t K e y > < K e y > T a b l e s \ W i n t e r   d a i l y   s i t r e p s \ S u m   o f   A E   d i v e r t s \ A d d i t i o n a l   I n f o \ I m p l i c i t   M e a s u r e < / K e y > < / D i a g r a m O b j e c t K e y > < D i a g r a m O b j e c t K e y > < K e y > T a b l e s \ W i n t e r   d a i l y   s i t r e p s \ M e a s u r e s \ S u m   o f   G A   t o t a l   b e d s   o c c u p i e d < / K e y > < / D i a g r a m O b j e c t K e y > < D i a g r a m O b j e c t K e y > < K e y > T a b l e s \ W i n t e r   d a i l y   s i t r e p s \ S u m   o f   G A   t o t a l   b e d s   o c c u p i e d \ A d d i t i o n a l   I n f o \ I m p l i c i t   M e a s u r e < / K e y > < / D i a g r a m O b j e c t K e y > < D i a g r a m O b j e c t K e y > < K e y > T a b l e s \ W i n t e r   d a i l y   s i t r e p s \ M e a s u r e s \ A v e r a g e   o f   G A   t o t a l   b e d s   o c c u p i e d < / K e y > < / D i a g r a m O b j e c t K e y > < D i a g r a m O b j e c t K e y > < K e y > T a b l e s \ W i n t e r   d a i l y   s i t r e p s \ A v e r a g e   o f   G A   t o t a l   b e d s   o c c u p i e d \ A d d i t i o n a l   I n f o \ I m p l i c i t   M e a s u r e < / K e y > < / D i a g r a m O b j e c t K e y > < D i a g r a m O b j e c t K e y > < K e y > T a b l e s \ W i n t e r   d a i l y   s i t r e p s \ M e a s u r e s \ S u m   o f   G A   t o t a l   b e d s   a v a i l < / K e y > < / D i a g r a m O b j e c t K e y > < D i a g r a m O b j e c t K e y > < K e y > T a b l e s \ W i n t e r   d a i l y   s i t r e p s \ S u m   o f   G A   t o t a l   b e d s   a v a i l \ A d d i t i o n a l   I n f o \ I m p l i c i t   M e a s u r e < / K e y > < / D i a g r a m O b j e c t K e y > < D i a g r a m O b j e c t K e y > < K e y > T a b l e s \ W i n t e r   d a i l y   s i t r e p s \ M e a s u r e s \ S u m   o f   B e d s   o c c   o v e r   7   d a y s < / K e y > < / D i a g r a m O b j e c t K e y > < D i a g r a m O b j e c t K e y > < K e y > T a b l e s \ W i n t e r   d a i l y   s i t r e p s \ S u m   o f   B e d s   o c c   o v e r   7   d a y s \ A d d i t i o n a l   I n f o \ I m p l i c i t   M e a s u r e < / K e y > < / D i a g r a m O b j e c t K e y > < D i a g r a m O b j e c t K e y > < K e y > T a b l e s \ W i n t e r   d a i l y   s i t r e p s \ M e a s u r e s \ S u m   o f   B e d s   o c c   o v e r   2 1   d a y s < / K e y > < / D i a g r a m O b j e c t K e y > < D i a g r a m O b j e c t K e y > < K e y > T a b l e s \ W i n t e r   d a i l y   s i t r e p s \ S u m   o f   B e d s   o c c   o v e r   2 1   d a y s \ A d d i t i o n a l   I n f o \ I m p l i c i t   M e a s u r e < / K e y > < / D i a g r a m O b j e c t K e y > < D i a g r a m O b j e c t K e y > < K e y > T a b l e s \ W i n t e r   d a i l y   s i t r e p s \ M e a s u r e s \ A v e r a g e   o f   B e d s   o c c   o v e r   2 1   d a y s < / K e y > < / D i a g r a m O b j e c t K e y > < D i a g r a m O b j e c t K e y > < K e y > T a b l e s \ W i n t e r   d a i l y   s i t r e p s \ A v e r a g e   o f   B e d s   o c c   o v e r   2 1   d a y s \ A d d i t i o n a l   I n f o \ I m p l i c i t   M e a s u r e < / K e y > < / D i a g r a m O b j e c t K e y > < D i a g r a m O b j e c t K e y > < K e y > T a b l e s \ W i n t e r   d a i l y   s i t r e p s \ M e a s u r e s \ S u m   o f   B e d s   c l o s e d   n o r o v i r u s < / K e y > < / D i a g r a m O b j e c t K e y > < D i a g r a m O b j e c t K e y > < K e y > T a b l e s \ W i n t e r   d a i l y   s i t r e p s \ S u m   o f   B e d s   c l o s e d   n o r o v i r u s \ A d d i t i o n a l   I n f o \ I m p l i c i t   M e a s u r e < / K e y > < / D i a g r a m O b j e c t K e y > < D i a g r a m O b j e c t K e y > < K e y > T a b l e s \ W i n t e r   d a i l y   s i t r e p s \ M e a s u r e s \ A v e r a g e   o f   B e d s   c l o s e d   n o r o v i r u s < / K e y > < / D i a g r a m O b j e c t K e y > < D i a g r a m O b j e c t K e y > < K e y > T a b l e s \ W i n t e r   d a i l y   s i t r e p s \ A v e r a g e   o f   B e d s   c l o s e d   n o r o v i r u s \ A d d i t i o n a l   I n f o \ I m p l i c i t   M e a s u r e < / K e y > < / D i a g r a m O b j e c t K e y > < D i a g r a m O b j e c t K e y > < K e y > T a b l e s \ W i n t e r   d a i l y   s i t r e p s \ M e a s u r e s \ S u m   o f   B e d s   c l o s e d   n o r o v i u s   u n o c c < / K e y > < / D i a g r a m O b j e c t K e y > < D i a g r a m O b j e c t K e y > < K e y > T a b l e s \ W i n t e r   d a i l y   s i t r e p s \ S u m   o f   B e d s   c l o s e d   n o r o v i u s   u n o c c \ A d d i t i o n a l   I n f o \ I m p l i c i t   M e a s u r e < / K e y > < / D i a g r a m O b j e c t K e y > < D i a g r a m O b j e c t K e y > < K e y > T a b l e s \ W i n t e r   d a i l y   s i t r e p s \ M e a s u r e s \ S u m   o f   A m b   a r r i v a l s < / K e y > < / D i a g r a m O b j e c t K e y > < D i a g r a m O b j e c t K e y > < K e y > T a b l e s \ W i n t e r   d a i l y   s i t r e p s \ S u m   o f   A m b   a r r i v a l s \ A d d i t i o n a l   I n f o \ I m p l i c i t   M e a s u r e < / K e y > < / D i a g r a m O b j e c t K e y > < D i a g r a m O b j e c t K e y > < K e y > T a b l e s \ W i n t e r   d a i l y   s i t r e p s \ M e a s u r e s \ S u m   o f   A m b   d e l a y s   3 0 - 6 0   m i n s < / K e y > < / D i a g r a m O b j e c t K e y > < D i a g r a m O b j e c t K e y > < K e y > T a b l e s \ W i n t e r   d a i l y   s i t r e p s \ S u m   o f   A m b   d e l a y s   3 0 - 6 0   m i n s \ A d d i t i o n a l   I n f o \ I m p l i c i t   M e a s u r e < / K e y > < / D i a g r a m O b j e c t K e y > < D i a g r a m O b j e c t K e y > < K e y > T a b l e s \ W i n t e r   d a i l y   s i t r e p s \ M e a s u r e s \ S u m   o f   A m b   d e l a y s   o v e r   6 0   m i n s < / K e y > < / D i a g r a m O b j e c t K e y > < D i a g r a m O b j e c t K e y > < K e y > T a b l e s \ W i n t e r   d a i l y   s i t r e p s \ S u m   o f   A m b   d e l a y s   o v e r   6 0   m i n s \ A d d i t i o n a l   I n f o \ I m p l i c i t   M e a s u r e < / K e y > < / D i a g r a m O b j e c t K e y > < D i a g r a m O b j e c t K e y > < K e y > T a b l e s \ W i n t e r   d a i l y   s i t r e p s \ M e a s u r e s \ S u m   o f   A d u l t   C C   b e d s   a v a i l < / K e y > < / D i a g r a m O b j e c t K e y > < D i a g r a m O b j e c t K e y > < K e y > T a b l e s \ W i n t e r   d a i l y   s i t r e p s \ S u m   o f   A d u l t   C C   b e d s   a v a i l \ A d d i t i o n a l   I n f o \ I m p l i c i t   M e a s u r e < / K e y > < / D i a g r a m O b j e c t K e y > < D i a g r a m O b j e c t K e y > < K e y > T a b l e s \ W i n t e r   d a i l y   s i t r e p s \ M e a s u r e s \ S u m   o f   A d u l t   C C   b e d s   o c c < / K e y > < / D i a g r a m O b j e c t K e y > < D i a g r a m O b j e c t K e y > < K e y > T a b l e s \ W i n t e r   d a i l y   s i t r e p s \ S u m   o f   A d u l t   C C   b e d s   o c c \ A d d i t i o n a l   I n f o \ I m p l i c i t   M e a s u r e < / K e y > < / D i a g r a m O b j e c t K e y > < D i a g r a m O b j e c t K e y > < K e y > T a b l e s \ W i n t e r   d a i l y   s i t r e p s \ M e a s u r e s \ S u m   o f   P a e d   I n t   C a r e   A v a i l < / K e y > < / D i a g r a m O b j e c t K e y > < D i a g r a m O b j e c t K e y > < K e y > T a b l e s \ W i n t e r   d a i l y   s i t r e p s \ S u m   o f   P a e d   I n t   C a r e   A v a i l \ A d d i t i o n a l   I n f o \ I m p l i c i t   M e a s u r e < / K e y > < / D i a g r a m O b j e c t K e y > < D i a g r a m O b j e c t K e y > < K e y > T a b l e s \ W i n t e r   d a i l y   s i t r e p s \ M e a s u r e s \ S u m   o f   P a e d   I n t   C a r e   O c c < / K e y > < / D i a g r a m O b j e c t K e y > < D i a g r a m O b j e c t K e y > < K e y > T a b l e s \ W i n t e r   d a i l y   s i t r e p s \ S u m   o f   P a e d   I n t   C a r e   O c c \ A d d i t i o n a l   I n f o \ I m p l i c i t   M e a s u r e < / K e y > < / D i a g r a m O b j e c t K e y > < D i a g r a m O b j e c t K e y > < K e y > T a b l e s \ W i n t e r   d a i l y   s i t r e p s \ M e a s u r e s \ S u m   o f   N e o   I n t   C a r e   A v a i l < / K e y > < / D i a g r a m O b j e c t K e y > < D i a g r a m O b j e c t K e y > < K e y > T a b l e s \ W i n t e r   d a i l y   s i t r e p s \ S u m   o f   N e o   I n t   C a r e   A v a i l \ A d d i t i o n a l   I n f o \ I m p l i c i t   M e a s u r e < / K e y > < / D i a g r a m O b j e c t K e y > < D i a g r a m O b j e c t K e y > < K e y > T a b l e s \ W i n t e r   d a i l y   s i t r e p s \ M e a s u r e s \ S u m   o f   N e o   I n t   C a r e   o c c < / K e y > < / D i a g r a m O b j e c t K e y > < D i a g r a m O b j e c t K e y > < K e y > T a b l e s \ W i n t e r   d a i l y   s i t r e p s \ S u m   o f   N e o   I n t   C a r e   o c c \ A d d i t i o n a l   I n f o \ I m p l i c i t   M e a s u r e < / K e y > < / D i a g r a m O b j e c t K e y > < D i a g r a m O b j e c t K e y > < K e y > T a b l e s \ W i n t e r   d a i l y   s i t r e p s \ M e a s u r e s \ A v e r a g e   o f   N e o   I n t   C a r e   A v a i l < / K e y > < / D i a g r a m O b j e c t K e y > < D i a g r a m O b j e c t K e y > < K e y > T a b l e s \ W i n t e r   d a i l y   s i t r e p s \ A v e r a g e   o f   N e o   I n t   C a r e   A v a i l \ A d d i t i o n a l   I n f o \ I m p l i c i t   M e a s u r e < / K e y > < / D i a g r a m O b j e c t K e y > < D i a g r a m O b j e c t K e y > < K e y > T a b l e s \ W i n t e r   d a i l y   s i t r e p s \ M e a s u r e s \ A v e r a g e   o f   N e o   I n t   C a r e   o c c < / K e y > < / D i a g r a m O b j e c t K e y > < D i a g r a m O b j e c t K e y > < K e y > T a b l e s \ W i n t e r   d a i l y   s i t r e p s \ A v e r a g e   o f   N e o   I n t   C a r e   o c c \ A d d i t i o n a l   I n f o \ I m p l i c i t   M e a s u r e < / K e y > < / D i a g r a m O b j e c t K e y > < D i a g r a m O b j e c t K e y > < K e y > T a b l e s \ W i n t e r   d a i l y   s i t r e p s \ M e a s u r e s \ S u m   o f   G A   b e d   o c c u p a n c y < / K e y > < / D i a g r a m O b j e c t K e y > < D i a g r a m O b j e c t K e y > < K e y > T a b l e s \ W i n t e r   d a i l y   s i t r e p s \ S u m   o f   G A   b e d   o c c u p a n c y \ A d d i t i o n a l   I n f o \ I m p l i c i t   M e a s u r e < / K e y > < / D i a g r a m O b j e c t K e y > < D i a g r a m O b j e c t K e y > < K e y > T a b l e s \ W i n t e r   d a i l y   s i t r e p s \ M e a s u r e s \ A v e r a g e   o f   G A   b e d   o c c u p a n c y < / K e y > < / D i a g r a m O b j e c t K e y > < D i a g r a m O b j e c t K e y > < K e y > T a b l e s \ W i n t e r   d a i l y   s i t r e p s \ A v e r a g e   o f   G A   b e d   o c c u p a n c y \ A d d i t i o n a l   I n f o \ I m p l i c i t   M e a s u r e < / K e y > < / D i a g r a m O b j e c t K e y > < D i a g r a m O b j e c t K e y > < K e y > T a b l e s \ W i n t e r   d a i l y   s i t r e p s \ M e a s u r e s \ S u m   o f   G A   c o r e   b e d s   a v a i l < / K e y > < / D i a g r a m O b j e c t K e y > < D i a g r a m O b j e c t K e y > < K e y > T a b l e s \ W i n t e r   d a i l y   s i t r e p s \ S u m   o f   G A   c o r e   b e d s   a v a i l \ A d d i t i o n a l   I n f o \ I m p l i c i t   M e a s u r e < / K e y > < / D i a g r a m O b j e c t K e y > < D i a g r a m O b j e c t K e y > < K e y > T a b l e s \ W i n t e r   d a i l y   s i t r e p s \ M e a s u r e s \ S u m   o f   G A   e s c a l a t i o n   b e d s   a v a i l < / K e y > < / D i a g r a m O b j e c t K e y > < D i a g r a m O b j e c t K e y > < K e y > T a b l e s \ W i n t e r   d a i l y   s i t r e p s \ S u m   o f   G A   e s c a l a t i o n   b e d s   a v a i l \ A d d i t i o n a l   I n f o \ I m p l i c i t   M e a s u r e < / K e y > < / D i a g r a m O b j e c t K e y > < D i a g r a m O b j e c t K e y > < K e y > T a b l e s \ W i n t e r   d a i l y   s i t r e p s \ M e a s u r e s \ S u m   o f   B e d s   o c c   o v e r   1 4   d a y s   2 < / K e y > < / D i a g r a m O b j e c t K e y > < D i a g r a m O b j e c t K e y > < K e y > T a b l e s \ W i n t e r   d a i l y   s i t r e p s \ S u m   o f   B e d s   o c c   o v e r   1 4   d a y s   2 \ A d d i t i o n a l   I n f o \ I m p l i c i t   M e a s u r e < / K e y > < / D i a g r a m O b j e c t K e y > < D i a g r a m O b j e c t K e y > < K e y > T a b l e s \ W i n t e r   d a i l y   s i t r e p s \ M e a s u r e s \ S u m   o f   G A   f l u   b e d s < / K e y > < / D i a g r a m O b j e c t K e y > < D i a g r a m O b j e c t K e y > < K e y > T a b l e s \ W i n t e r   d a i l y   s i t r e p s \ S u m   o f   G A   f l u   b e d s \ A d d i t i o n a l   I n f o \ I m p l i c i t   M e a s u r e < / K e y > < / D i a g r a m O b j e c t K e y > < D i a g r a m O b j e c t K e y > < K e y > T a b l e s \ W i n t e r   d a i l y   s i t r e p s \ M e a s u r e s \ S u m   o f   C C   f l u   b e d s < / K e y > < / D i a g r a m O b j e c t K e y > < D i a g r a m O b j e c t K e y > < K e y > T a b l e s \ W i n t e r   d a i l y   s i t r e p s \ S u m   o f   C C   f l u   b e d s \ A d d i t i o n a l   I n f o \ I m p l i c i t   M e a s u r e < / K e y > < / D i a g r a m O b j e c t K e y > < D i a g r a m O b j e c t K e y > < K e y > T a b l e s \ W i n t e r   d a i l y   s i t r e p s \ M e a s u r e s \ S u m   o f   P a e d s   R S V   b e d s   c l o s e d < / K e y > < / D i a g r a m O b j e c t K e y > < D i a g r a m O b j e c t K e y > < K e y > T a b l e s \ W i n t e r   d a i l y   s i t r e p s \ S u m   o f   P a e d s   R S V   b e d s   c l o s e d \ A d d i t i o n a l   I n f o \ I m p l i c i t   M e a s u r e < / K e y > < / D i a g r a m O b j e c t K e y > < D i a g r a m O b j e c t K e y > < K e y > T a b l e s \ W i n t e r   d a i l y   s i t r e p s \ M e a s u r e s \ S u m   o f   P a e d s   R S V   b e d s   c l o s e d   u n o c c < / K e y > < / D i a g r a m O b j e c t K e y > < D i a g r a m O b j e c t K e y > < K e y > T a b l e s \ W i n t e r   d a i l y   s i t r e p s \ S u m   o f   P a e d s   R S V   b e d s   c l o s e d   u n o c c \ A d d i t i o n a l   I n f o \ I m p l i c i t   M e a s u r e < / K e y > < / D i a g r a m O b j e c t K e y > < D i a g r a m O b j e c t K e y > < K e y > T a b l e s \ W i n t e r   b e d   o c c   o v e r   1 4   d a y s < / K e y > < / D i a g r a m O b j e c t K e y > < D i a g r a m O b j e c t K e y > < K e y > T a b l e s \ W i n t e r   b e d   o c c   o v e r   1 4   d a y s \ C o l u m n s \ R e g i o n < / K e y > < / D i a g r a m O b j e c t K e y > < D i a g r a m O b j e c t K e y > < K e y > T a b l e s \ W i n t e r   b e d   o c c   o v e r   1 4   d a y s \ C o l u m n s \ C o d e < / K e y > < / D i a g r a m O b j e c t K e y > < D i a g r a m O b j e c t K e y > < K e y > T a b l e s \ W i n t e r   b e d   o c c   o v e r   1 4   d a y s \ C o l u m n s \ N a m e < / K e y > < / D i a g r a m O b j e c t K e y > < D i a g r a m O b j e c t K e y > < K e y > T a b l e s \ W i n t e r   b e d   o c c   o v e r   1 4   d a y s \ C o l u m n s \ Y e a r < / K e y > < / D i a g r a m O b j e c t K e y > < D i a g r a m O b j e c t K e y > < K e y > T a b l e s \ W i n t e r   b e d   o c c   o v e r   1 4   d a y s \ C o l u m n s \ D a t e < / K e y > < / D i a g r a m O b j e c t K e y > < D i a g r a m O b j e c t K e y > < K e y > T a b l e s \ W i n t e r   b e d   o c c   o v e r   1 4   d a y s \ C o l u m n s \ W e e k < / K e y > < / D i a g r a m O b j e c t K e y > < D i a g r a m O b j e c t K e y > < K e y > T a b l e s \ W i n t e r   b e d   o c c   o v e r   1 4   d a y s \ C o l u m n s \ D a y < / K e y > < / D i a g r a m O b j e c t K e y > < D i a g r a m O b j e c t K e y > < K e y > T a b l e s \ W i n t e r   b e d   o c c   o v e r   1 4   d a y s \ C o l u m n s \ W e e k e n d < / K e y > < / D i a g r a m O b j e c t K e y > < D i a g r a m O b j e c t K e y > < K e y > T a b l e s \ W i n t e r   b e d   o c c   o v e r   1 4   d a y s \ C o l u m n s \ B a n k   h o l i d a y < / K e y > < / D i a g r a m O b j e c t K e y > < D i a g r a m O b j e c t K e y > < K e y > T a b l e s \ W i n t e r   b e d   o c c   o v e r   1 4   d a y s \ C o l u m n s \ A   E   c l o s u r e s < / K e y > < / D i a g r a m O b j e c t K e y > < D i a g r a m O b j e c t K e y > < K e y > T a b l e s \ W i n t e r   b e d   o c c   o v e r   1 4   d a y s \ C o l u m n s \ A   E   d i v e r t s < / K e y > < / D i a g r a m O b j e c t K e y > < D i a g r a m O b j e c t K e y > < K e y > T a b l e s \ W i n t e r   b e d   o c c   o v e r   1 4   d a y s \ C o l u m n s \ G   A   c o r e   b e d s   a v a i l < / K e y > < / D i a g r a m O b j e c t K e y > < D i a g r a m O b j e c t K e y > < K e y > T a b l e s \ W i n t e r   b e d   o c c   o v e r   1 4   d a y s \ C o l u m n s \ G   A   e s c a l a t i o n   b e d s   a v a i l < / K e y > < / D i a g r a m O b j e c t K e y > < D i a g r a m O b j e c t K e y > < K e y > T a b l e s \ W i n t e r   b e d   o c c   o v e r   1 4   d a y s \ C o l u m n s \ G   A   t o t a l   b e d s   a v a i l < / K e y > < / D i a g r a m O b j e c t K e y > < D i a g r a m O b j e c t K e y > < K e y > T a b l e s \ W i n t e r   b e d   o c c   o v e r   1 4   d a y s \ C o l u m n s \ G   A   t o t a l   b e d s   o c c u p i e d < / K e y > < / D i a g r a m O b j e c t K e y > < D i a g r a m O b j e c t K e y > < K e y > T a b l e s \ W i n t e r   b e d   o c c   o v e r   1 4   d a y s \ C o l u m n s \ B e d s   o c c   o v e r   7   d a y s < / K e y > < / D i a g r a m O b j e c t K e y > < D i a g r a m O b j e c t K e y > < K e y > T a b l e s \ W i n t e r   b e d   o c c   o v e r   1 4   d a y s \ C o l u m n s \ B e d s   o c c   o v e r   2 1   d a y s < / K e y > < / D i a g r a m O b j e c t K e y > < D i a g r a m O b j e c t K e y > < K e y > T a b l e s \ W i n t e r   b e d   o c c   o v e r   1 4   d a y s \ C o l u m n s \ B e d s   c l o s e d   n o r o v i r u s < / K e y > < / D i a g r a m O b j e c t K e y > < D i a g r a m O b j e c t K e y > < K e y > T a b l e s \ W i n t e r   b e d   o c c   o v e r   1 4   d a y s \ C o l u m n s \ B e d s   c l o s e d   n o r o v i u s   u n o c c < / K e y > < / D i a g r a m O b j e c t K e y > < D i a g r a m O b j e c t K e y > < K e y > T a b l e s \ W i n t e r   b e d   o c c   o v e r   1 4   d a y s \ C o l u m n s \ A d u l t   C C   b e d s   a v a i l < / K e y > < / D i a g r a m O b j e c t K e y > < D i a g r a m O b j e c t K e y > < K e y > T a b l e s \ W i n t e r   b e d   o c c   o v e r   1 4   d a y s \ C o l u m n s \ A d u l t   C C   b e d s   o c c < / K e y > < / D i a g r a m O b j e c t K e y > < D i a g r a m O b j e c t K e y > < K e y > T a b l e s \ W i n t e r   b e d   o c c   o v e r   1 4   d a y s \ C o l u m n s \ P a e d   I n t   C a r e   A v a i l < / K e y > < / D i a g r a m O b j e c t K e y > < D i a g r a m O b j e c t K e y > < K e y > T a b l e s \ W i n t e r   b e d   o c c   o v e r   1 4   d a y s \ C o l u m n s \ P a e d   I n t   C a r e   O c c < / K e y > < / D i a g r a m O b j e c t K e y > < D i a g r a m O b j e c t K e y > < K e y > T a b l e s \ W i n t e r   b e d   o c c   o v e r   1 4   d a y s \ C o l u m n s \ N e o   I n t   C a r e   A v a i l < / K e y > < / D i a g r a m O b j e c t K e y > < D i a g r a m O b j e c t K e y > < K e y > T a b l e s \ W i n t e r   b e d   o c c   o v e r   1 4   d a y s \ C o l u m n s \ N e o   I n t   C a r e   o c c < / K e y > < / D i a g r a m O b j e c t K e y > < D i a g r a m O b j e c t K e y > < K e y > T a b l e s \ W i n t e r   b e d   o c c   o v e r   1 4   d a y s \ C o l u m n s \ A m b   a r r i v a l s < / K e y > < / D i a g r a m O b j e c t K e y > < D i a g r a m O b j e c t K e y > < K e y > T a b l e s \ W i n t e r   b e d   o c c   o v e r   1 4   d a y s \ C o l u m n s \ A m b   d e l a y s   3 0 - 6 0   m i n s < / K e y > < / D i a g r a m O b j e c t K e y > < D i a g r a m O b j e c t K e y > < K e y > T a b l e s \ W i n t e r   b e d   o c c   o v e r   1 4   d a y s \ C o l u m n s \ A m b   d e l a y s   o v e r   6 0   m i n s < / K e y > < / D i a g r a m O b j e c t K e y > < D i a g r a m O b j e c t K e y > < K e y > T a b l e s \ W i n t e r   b e d   o c c   o v e r   1 4   d a y s \ C o l u m n s \ B e d s   o c c   o v e r   1 4   d a y s < / K e y > < / D i a g r a m O b j e c t K e y > < D i a g r a m O b j e c t K e y > < K e y > T a b l e s \ W i n t e r   b e d   o c c   o v e r   1 4   d a y s \ M e a s u r e s \ S u m   o f   B e d s   o c c   o v e r   1 4   d a y s < / K e y > < / D i a g r a m O b j e c t K e y > < D i a g r a m O b j e c t K e y > < K e y > T a b l e s \ W i n t e r   b e d   o c c   o v e r   1 4   d a y s \ S u m   o f   B e d s   o c c   o v e r   1 4   d a y s \ A d d i t i o n a l   I n f o \ I m p l i c i t   M e a s u r e < / K e y > < / D i a g r a m O b j e c t K e y > < D i a g r a m O b j e c t K e y > < K e y > T a b l e s \ C O V I D - 1 9   d a i l y   d i s c h a r g e   s i t r e p s < / K e y > < / D i a g r a m O b j e c t K e y > < D i a g r a m O b j e c t K e y > < K e y > T a b l e s \ C O V I D - 1 9   d a i l y   d i s c h a r g e   s i t r e p s \ C o l u m n s \ I D < / K e y > < / D i a g r a m O b j e c t K e y > < D i a g r a m O b j e c t K e y > < K e y > T a b l e s \ C O V I D - 1 9   d a i l y   d i s c h a r g e   s i t r e p s \ C o l u m n s \ c r i _ i d < / K e y > < / D i a g r a m O b j e c t K e y > < D i a g r a m O b j e c t K e y > < K e y > T a b l e s \ C O V I D - 1 9   d a i l y   d i s c h a r g e   s i t r e p s \ C o l u m n s \ d r _ i d < / K e y > < / D i a g r a m O b j e c t K e y > < D i a g r a m O b j e c t K e y > < K e y > T a b l e s \ C O V I D - 1 9   d a i l y   d i s c h a r g e   s i t r e p s \ C o l u m n s \ o r g _ i d < / K e y > < / D i a g r a m O b j e c t K e y > < D i a g r a m O b j e c t K e y > < K e y > T a b l e s \ C O V I D - 1 9   d a i l y   d i s c h a r g e   s i t r e p s \ C o l u m n s \ c r i _ d a t a p e r i o d s t a r t < / K e y > < / D i a g r a m O b j e c t K e y > < D i a g r a m O b j e c t K e y > < K e y > T a b l e s \ C O V I D - 1 9   d a i l y   d i s c h a r g e   s i t r e p s \ C o l u m n s \ R e g i o n < / K e y > < / D i a g r a m O b j e c t K e y > < D i a g r a m O b j e c t K e y > < K e y > T a b l e s \ C O V I D - 1 9   d a i l y   d i s c h a r g e   s i t r e p s \ C o l u m n s \ C o d e < / K e y > < / D i a g r a m O b j e c t K e y > < D i a g r a m O b j e c t K e y > < K e y > T a b l e s \ C O V I D - 1 9   d a i l y   d i s c h a r g e   s i t r e p s \ C o l u m n s \ N a m e < / K e y > < / D i a g r a m O b j e c t K e y > < D i a g r a m O b j e c t K e y > < K e y > T a b l e s \ C O V I D - 1 9   d a i l y   d i s c h a r g e   s i t r e p s \ C o l u m n s \ Y e a r < / K e y > < / D i a g r a m O b j e c t K e y > < D i a g r a m O b j e c t K e y > < K e y > T a b l e s \ C O V I D - 1 9   d a i l y   d i s c h a r g e   s i t r e p s \ C o l u m n s \ D a t e < / K e y > < / D i a g r a m O b j e c t K e y > < D i a g r a m O b j e c t K e y > < K e y > T a b l e s \ C O V I D - 1 9   d a i l y   d i s c h a r g e   s i t r e p s \ C o l u m n s \ W e e k < / K e y > < / D i a g r a m O b j e c t K e y > < D i a g r a m O b j e c t K e y > < K e y > T a b l e s \ C O V I D - 1 9   d a i l y   d i s c h a r g e   s i t r e p s \ C o l u m n s \ D a y < / K e y > < / D i a g r a m O b j e c t K e y > < D i a g r a m O b j e c t K e y > < K e y > T a b l e s \ C O V I D - 1 9   d a i l y   d i s c h a r g e   s i t r e p s \ C o l u m n s \ P a t i e n t s   w h o   n o   l o n g e r   m e e t   t h e   c r i t e r i a   t o   r e s i d e < / K e y > < / D i a g r a m O b j e c t K e y > < D i a g r a m O b j e c t K e y > < K e y > T a b l e s \ C O V I D - 1 9   d a i l y   d i s c h a r g e   s i t r e p s \ C o l u m n s \ P a t i e n t s   d i s c h a r g e d < / K e y > < / D i a g r a m O b j e c t K e y > < D i a g r a m O b j e c t K e y > < K e y > T a b l e s \ C O V I D - 1 9   d a i l y   d i s c h a r g e   s i t r e p s \ C o l u m n s \ P a t i e n t s   r e m a i n i n g   i n   h o s p i t a l   w h o   n o   l o n g e r   m e e t   t h e   c r i t e r i a   t o   r e s i d e < / K e y > < / D i a g r a m O b j e c t K e y > < D i a g r a m O b j e c t K e y > < K e y > T a b l e s \ C O V I D - 1 9   d a i l y   d i s c h a r g e   s i t r e p s \ M e a s u r e s \ C o u n t   o f   P a t i e n t s   w h o   n o   l o n g e r   m e e t   t h e   c r i t e r i a   t o   r e s i d e < / K e y > < / D i a g r a m O b j e c t K e y > < D i a g r a m O b j e c t K e y > < K e y > T a b l e s \ C O V I D - 1 9   d a i l y   d i s c h a r g e   s i t r e p s \ C o u n t   o f   P a t i e n t s   w h o   n o   l o n g e r   m e e t   t h e   c r i t e r i a   t o   r e s i d e \ A d d i t i o n a l   I n f o \ I m p l i c i t   M e a s u r e < / K e y > < / D i a g r a m O b j e c t K e y > < / A l l K e y s > < S e l e c t e d K e y s > < D i a g r a m O b j e c t K e y > < K e y > T a b l e s \ C O V I D - 1 9   d a i l y   d i s c h a r g e   s i t r e p s 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 T a g s \ T a b l e s \ & l t ; T a b l e s \ W i n t e r   d a i l y   s i t r e p s & g t ; < / K e y > < / a : K e y > < a : V a l u e   i : t y p e = " D i a g r a m D i s p l a y T a g V i e w S t a t e " > < I s N o t F i l t e r e d O u t > t r u e < / I s N o t F i l t e r e d O u t > < / a : V a l u e > < / a : K e y V a l u e O f D i a g r a m O b j e c t K e y a n y T y p e z b w N T n L X > < a : K e y V a l u e O f D i a g r a m O b j e c t K e y a n y T y p e z b w N T n L X > < a : K e y > < K e y > D y n a m i c   T a g s \ T a b l e s \ & l t ; T a b l e s \ W i n t e r   b e d   o c c   o v e r   1 4   d a y s & g t ; < / K e y > < / a : K e y > < a : V a l u e   i : t y p e = " D i a g r a m D i s p l a y T a g V i e w S t a t e " > < I s N o t F i l t e r e d O u t > t r u e < / I s N o t F i l t e r e d O u t > < / a : V a l u e > < / a : K e y V a l u e O f D i a g r a m O b j e c t K e y a n y T y p e z b w N T n L X > < a : K e y V a l u e O f D i a g r a m O b j e c t K e y a n y T y p e z b w N T n L X > < a : K e y > < K e y > D y n a m i c   T a g s \ T a b l e s \ & l t ; T a b l e s \ C O V I D - 1 9   d a i l y   d i s c h a r g e   s i t r e p s & g t ; < / K e y > < / a : K e y > < a : V a l u e   i : t y p e = " D i a g r a m D i s p l a y T a g V i e w S t a t e " > < I s N o t F i l t e r e d O u t > t r u e < / I s N o t F i l t e r e d O u t > < / a : V a l u e > < / a : K e y V a l u e O f D i a g r a m O b j e c t K e y a n y T y p e z b w N T n L X > < a : K e y V a l u e O f D i a g r a m O b j e c t K e y a n y T y p e z b w N T n L X > < a : K e y > < K e y > T a b l e s \ W i n t e r   d a i l y   s i t r e p s < / K e y > < / a : K e y > < a : V a l u e   i : t y p e = " D i a g r a m D i s p l a y N o d e V i e w S t a t e " > < H e i g h t > 1 5 0 < / H e i g h t > < I s E x p a n d e d > t r u e < / I s E x p a n d e d > < L a y e d O u t > t r u e < / L a y e d O u t > < S c r o l l V e r t i c a l O f f s e t > 9 0 2 . 8 4 3 3 3 3 3 3 3 3 3 2 5 7 < / S c r o l l V e r t i c a l O f f s e t > < W i d t h > 2 0 0 < / W i d t h > < / a : V a l u e > < / a : K e y V a l u e O f D i a g r a m O b j e c t K e y a n y T y p e z b w N T n L X > < a : K e y V a l u e O f D i a g r a m O b j e c t K e y a n y T y p e z b w N T n L X > < a : K e y > < K e y > T a b l e s \ W i n t e r   d a i l y   s i t r e p s \ C o l u m n s \ I D < / K e y > < / a : K e y > < a : V a l u e   i : t y p e = " D i a g r a m D i s p l a y N o d e V i e w S t a t e " > < H e i g h t > 1 5 0 < / H e i g h t > < I s E x p a n d e d > t r u e < / I s E x p a n d e d > < W i d t h > 2 0 0 < / W i d t h > < / a : V a l u e > < / a : K e y V a l u e O f D i a g r a m O b j e c t K e y a n y T y p e z b w N T n L X > < a : K e y V a l u e O f D i a g r a m O b j e c t K e y a n y T y p e z b w N T n L X > < a : K e y > < K e y > T a b l e s \ W i n t e r   d a i l y   s i t r e p s \ C o l u m n s \ c r i _ i d < / K e y > < / a : K e y > < a : V a l u e   i : t y p e = " D i a g r a m D i s p l a y N o d e V i e w S t a t e " > < H e i g h t > 1 5 0 < / H e i g h t > < I s E x p a n d e d > t r u e < / I s E x p a n d e d > < W i d t h > 2 0 0 < / W i d t h > < / a : V a l u e > < / a : K e y V a l u e O f D i a g r a m O b j e c t K e y a n y T y p e z b w N T n L X > < a : K e y V a l u e O f D i a g r a m O b j e c t K e y a n y T y p e z b w N T n L X > < a : K e y > < K e y > T a b l e s \ W i n t e r   d a i l y   s i t r e p s \ C o l u m n s \ d r _ i d < / K e y > < / a : K e y > < a : V a l u e   i : t y p e = " D i a g r a m D i s p l a y N o d e V i e w S t a t e " > < H e i g h t > 1 5 0 < / H e i g h t > < I s E x p a n d e d > t r u e < / I s E x p a n d e d > < W i d t h > 2 0 0 < / W i d t h > < / a : V a l u e > < / a : K e y V a l u e O f D i a g r a m O b j e c t K e y a n y T y p e z b w N T n L X > < a : K e y V a l u e O f D i a g r a m O b j e c t K e y a n y T y p e z b w N T n L X > < a : K e y > < K e y > T a b l e s \ W i n t e r   d a i l y   s i t r e p s \ C o l u m n s \ o r g _ i d < / K e y > < / a : K e y > < a : V a l u e   i : t y p e = " D i a g r a m D i s p l a y N o d e V i e w S t a t e " > < H e i g h t > 1 5 0 < / H e i g h t > < I s E x p a n d e d > t r u e < / I s E x p a n d e d > < W i d t h > 2 0 0 < / W i d t h > < / a : V a l u e > < / a : K e y V a l u e O f D i a g r a m O b j e c t K e y a n y T y p e z b w N T n L X > < a : K e y V a l u e O f D i a g r a m O b j e c t K e y a n y T y p e z b w N T n L X > < a : K e y > < K e y > T a b l e s \ W i n t e r   d a i l y   s i t r e p s \ C o l u m n s \ c r i _ d a t a p e r i o d s t a r t < / K e y > < / a : K e y > < a : V a l u e   i : t y p e = " D i a g r a m D i s p l a y N o d e V i e w S t a t e " > < H e i g h t > 1 5 0 < / H e i g h t > < I s E x p a n d e d > t r u e < / I s E x p a n d e d > < W i d t h > 2 0 0 < / W i d t h > < / a : V a l u e > < / a : K e y V a l u e O f D i a g r a m O b j e c t K e y a n y T y p e z b w N T n L X > < a : K e y V a l u e O f D i a g r a m O b j e c t K e y a n y T y p e z b w N T n L X > < a : K e y > < K e y > T a b l e s \ W i n t e r   d a i l y   s i t r e p s \ C o l u m n s \ C o d e < / K e y > < / a : K e y > < a : V a l u e   i : t y p e = " D i a g r a m D i s p l a y N o d e V i e w S t a t e " > < H e i g h t > 1 5 0 < / H e i g h t > < I s E x p a n d e d > t r u e < / I s E x p a n d e d > < W i d t h > 2 0 0 < / W i d t h > < / a : V a l u e > < / a : K e y V a l u e O f D i a g r a m O b j e c t K e y a n y T y p e z b w N T n L X > < a : K e y V a l u e O f D i a g r a m O b j e c t K e y a n y T y p e z b w N T n L X > < a : K e y > < K e y > T a b l e s \ W i n t e r   d a i l y   s i t r e p s \ C o l u m n s \ N a m e < / K e y > < / a : K e y > < a : V a l u e   i : t y p e = " D i a g r a m D i s p l a y N o d e V i e w S t a t e " > < H e i g h t > 1 5 0 < / H e i g h t > < I s E x p a n d e d > t r u e < / I s E x p a n d e d > < W i d t h > 2 0 0 < / W i d t h > < / a : V a l u e > < / a : K e y V a l u e O f D i a g r a m O b j e c t K e y a n y T y p e z b w N T n L X > < a : K e y V a l u e O f D i a g r a m O b j e c t K e y a n y T y p e z b w N T n L X > < a : K e y > < K e y > T a b l e s \ W i n t e r   d a i l y   s i t r e p s \ C o l u m n s \ D a t e < / K e y > < / a : K e y > < a : V a l u e   i : t y p e = " D i a g r a m D i s p l a y N o d e V i e w S t a t e " > < H e i g h t > 1 5 0 < / H e i g h t > < I s E x p a n d e d > t r u e < / I s E x p a n d e d > < W i d t h > 2 0 0 < / W i d t h > < / a : V a l u e > < / a : K e y V a l u e O f D i a g r a m O b j e c t K e y a n y T y p e z b w N T n L X > < a : K e y V a l u e O f D i a g r a m O b j e c t K e y a n y T y p e z b w N T n L X > < a : K e y > < K e y > T a b l e s \ W i n t e r   d a i l y   s i t r e p s \ C o l u m n s \ W e e k < / K e y > < / a : K e y > < a : V a l u e   i : t y p e = " D i a g r a m D i s p l a y N o d e V i e w S t a t e " > < H e i g h t > 1 5 0 < / H e i g h t > < I s E x p a n d e d > t r u e < / I s E x p a n d e d > < W i d t h > 2 0 0 < / W i d t h > < / a : V a l u e > < / a : K e y V a l u e O f D i a g r a m O b j e c t K e y a n y T y p e z b w N T n L X > < a : K e y V a l u e O f D i a g r a m O b j e c t K e y a n y T y p e z b w N T n L X > < a : K e y > < K e y > T a b l e s \ W i n t e r   d a i l y   s i t r e p s \ C o l u m n s \ D a y < / K e y > < / a : K e y > < a : V a l u e   i : t y p e = " D i a g r a m D i s p l a y N o d e V i e w S t a t e " > < H e i g h t > 1 5 0 < / H e i g h t > < I s E x p a n d e d > t r u e < / I s E x p a n d e d > < W i d t h > 2 0 0 < / W i d t h > < / a : V a l u e > < / a : K e y V a l u e O f D i a g r a m O b j e c t K e y a n y T y p e z b w N T n L X > < a : K e y V a l u e O f D i a g r a m O b j e c t K e y a n y T y p e z b w N T n L X > < a : K e y > < K e y > T a b l e s \ W i n t e r   d a i l y   s i t r e p s \ C o l u m n s \ B a n k   h o l i d a y < / K e y > < / a : K e y > < a : V a l u e   i : t y p e = " D i a g r a m D i s p l a y N o d e V i e w S t a t e " > < H e i g h t > 1 5 0 < / H e i g h t > < I s E x p a n d e d > t r u e < / I s E x p a n d e d > < W i d t h > 2 0 0 < / W i d t h > < / a : V a l u e > < / a : K e y V a l u e O f D i a g r a m O b j e c t K e y a n y T y p e z b w N T n L X > < a : K e y V a l u e O f D i a g r a m O b j e c t K e y a n y T y p e z b w N T n L X > < a : K e y > < K e y > T a b l e s \ W i n t e r   d a i l y   s i t r e p s \ C o l u m n s \ A E   c l o s u r e s < / K e y > < / a : K e y > < a : V a l u e   i : t y p e = " D i a g r a m D i s p l a y N o d e V i e w S t a t e " > < H e i g h t > 1 5 0 < / H e i g h t > < I s E x p a n d e d > t r u e < / I s E x p a n d e d > < W i d t h > 2 0 0 < / W i d t h > < / a : V a l u e > < / a : K e y V a l u e O f D i a g r a m O b j e c t K e y a n y T y p e z b w N T n L X > < a : K e y V a l u e O f D i a g r a m O b j e c t K e y a n y T y p e z b w N T n L X > < a : K e y > < K e y > T a b l e s \ W i n t e r   d a i l y   s i t r e p s \ C o l u m n s \ A E   d i v e r t s < / K e y > < / a : K e y > < a : V a l u e   i : t y p e = " D i a g r a m D i s p l a y N o d e V i e w S t a t e " > < H e i g h t > 1 5 0 < / H e i g h t > < I s E x p a n d e d > t r u e < / I s E x p a n d e d > < W i d t h > 2 0 0 < / W i d t h > < / a : V a l u e > < / a : K e y V a l u e O f D i a g r a m O b j e c t K e y a n y T y p e z b w N T n L X > < a : K e y V a l u e O f D i a g r a m O b j e c t K e y a n y T y p e z b w N T n L X > < a : K e y > < K e y > T a b l e s \ W i n t e r   d a i l y   s i t r e p s \ C o l u m n s \ A E   t y p e   1   a t t e n d a n c e s < / K e y > < / a : K e y > < a : V a l u e   i : t y p e = " D i a g r a m D i s p l a y N o d e V i e w S t a t e " > < H e i g h t > 1 5 0 < / H e i g h t > < I s E x p a n d e d > t r u e < / I s E x p a n d e d > < W i d t h > 2 0 0 < / W i d t h > < / a : V a l u e > < / a : K e y V a l u e O f D i a g r a m O b j e c t K e y a n y T y p e z b w N T n L X > < a : K e y V a l u e O f D i a g r a m O b j e c t K e y a n y T y p e z b w N T n L X > < a : K e y > < K e y > T a b l e s \ W i n t e r   d a i l y   s i t r e p s \ C o l u m n s \ A E   t y p e   2   a t t e n d a n c e s < / K e y > < / a : K e y > < a : V a l u e   i : t y p e = " D i a g r a m D i s p l a y N o d e V i e w S t a t e " > < H e i g h t > 1 5 0 < / H e i g h t > < I s E x p a n d e d > t r u e < / I s E x p a n d e d > < W i d t h > 2 0 0 < / W i d t h > < / a : V a l u e > < / a : K e y V a l u e O f D i a g r a m O b j e c t K e y a n y T y p e z b w N T n L X > < a : K e y V a l u e O f D i a g r a m O b j e c t K e y a n y T y p e z b w N T n L X > < a : K e y > < K e y > T a b l e s \ W i n t e r   d a i l y   s i t r e p s \ C o l u m n s \ A E   t y p e   3   a t t e n d a n c e s < / K e y > < / a : K e y > < a : V a l u e   i : t y p e = " D i a g r a m D i s p l a y N o d e V i e w S t a t e " > < H e i g h t > 1 5 0 < / H e i g h t > < I s E x p a n d e d > t r u e < / I s E x p a n d e d > < W i d t h > 2 0 0 < / W i d t h > < / a : V a l u e > < / a : K e y V a l u e O f D i a g r a m O b j e c t K e y a n y T y p e z b w N T n L X > < a : K e y V a l u e O f D i a g r a m O b j e c t K e y a n y T y p e z b w N T n L X > < a : K e y > < K e y > T a b l e s \ W i n t e r   d a i l y   s i t r e p s \ C o l u m n s \ A E   t o t a l   a t t e n d a n c e s < / K e y > < / a : K e y > < a : V a l u e   i : t y p e = " D i a g r a m D i s p l a y N o d e V i e w S t a t e " > < H e i g h t > 1 5 0 < / H e i g h t > < I s E x p a n d e d > t r u e < / I s E x p a n d e d > < W i d t h > 2 0 0 < / W i d t h > < / a : V a l u e > < / a : K e y V a l u e O f D i a g r a m O b j e c t K e y a n y T y p e z b w N T n L X > < a : K e y V a l u e O f D i a g r a m O b j e c t K e y a n y T y p e z b w N T n L X > < a : K e y > < K e y > T a b l e s \ W i n t e r   d a i l y   s i t r e p s \ C o l u m n s \ E m e r g e n c y   a d m i s s i o n s < / K e y > < / a : K e y > < a : V a l u e   i : t y p e = " D i a g r a m D i s p l a y N o d e V i e w S t a t e " > < H e i g h t > 1 5 0 < / H e i g h t > < I s E x p a n d e d > t r u e < / I s E x p a n d e d > < W i d t h > 2 0 0 < / W i d t h > < / a : V a l u e > < / a : K e y V a l u e O f D i a g r a m O b j e c t K e y a n y T y p e z b w N T n L X > < a : K e y V a l u e O f D i a g r a m O b j e c t K e y a n y T y p e z b w N T n L X > < a : K e y > < K e y > T a b l e s \ W i n t e r   d a i l y   s i t r e p s \ C o l u m n s \ G A   c o r e   b e d s   a v a i l < / K e y > < / a : K e y > < a : V a l u e   i : t y p e = " D i a g r a m D i s p l a y N o d e V i e w S t a t e " > < H e i g h t > 1 5 0 < / H e i g h t > < I s E x p a n d e d > t r u e < / I s E x p a n d e d > < W i d t h > 2 0 0 < / W i d t h > < / a : V a l u e > < / a : K e y V a l u e O f D i a g r a m O b j e c t K e y a n y T y p e z b w N T n L X > < a : K e y V a l u e O f D i a g r a m O b j e c t K e y a n y T y p e z b w N T n L X > < a : K e y > < K e y > T a b l e s \ W i n t e r   d a i l y   s i t r e p s \ C o l u m n s \ G A   e s c a l a t i o n   b e d s   a v a i l < / K e y > < / a : K e y > < a : V a l u e   i : t y p e = " D i a g r a m D i s p l a y N o d e V i e w S t a t e " > < H e i g h t > 1 5 0 < / H e i g h t > < I s E x p a n d e d > t r u e < / I s E x p a n d e d > < W i d t h > 2 0 0 < / W i d t h > < / a : V a l u e > < / a : K e y V a l u e O f D i a g r a m O b j e c t K e y a n y T y p e z b w N T n L X > < a : K e y V a l u e O f D i a g r a m O b j e c t K e y a n y T y p e z b w N T n L X > < a : K e y > < K e y > T a b l e s \ W i n t e r   d a i l y   s i t r e p s \ C o l u m n s \ G A   t o t a l   b e d s   a v a i l < / K e y > < / a : K e y > < a : V a l u e   i : t y p e = " D i a g r a m D i s p l a y N o d e V i e w S t a t e " > < H e i g h t > 1 5 0 < / H e i g h t > < I s E x p a n d e d > t r u e < / I s E x p a n d e d > < W i d t h > 2 0 0 < / W i d t h > < / a : V a l u e > < / a : K e y V a l u e O f D i a g r a m O b j e c t K e y a n y T y p e z b w N T n L X > < a : K e y V a l u e O f D i a g r a m O b j e c t K e y a n y T y p e z b w N T n L X > < a : K e y > < K e y > T a b l e s \ W i n t e r   d a i l y   s i t r e p s \ C o l u m n s \ G A   t o t a l   b e d s   o c c u p i e d < / K e y > < / a : K e y > < a : V a l u e   i : t y p e = " D i a g r a m D i s p l a y N o d e V i e w S t a t e " > < H e i g h t > 1 5 0 < / H e i g h t > < I s E x p a n d e d > t r u e < / I s E x p a n d e d > < W i d t h > 2 0 0 < / W i d t h > < / a : V a l u e > < / a : K e y V a l u e O f D i a g r a m O b j e c t K e y a n y T y p e z b w N T n L X > < a : K e y V a l u e O f D i a g r a m O b j e c t K e y a n y T y p e z b w N T n L X > < a : K e y > < K e y > T a b l e s \ W i n t e r   d a i l y   s i t r e p s \ C o l u m n s \ B e d s   c l o s e d   n o r o v i r u s < / K e y > < / a : K e y > < a : V a l u e   i : t y p e = " D i a g r a m D i s p l a y N o d e V i e w S t a t e " > < H e i g h t > 1 5 0 < / H e i g h t > < I s E x p a n d e d > t r u e < / I s E x p a n d e d > < W i d t h > 2 0 0 < / W i d t h > < / a : V a l u e > < / a : K e y V a l u e O f D i a g r a m O b j e c t K e y a n y T y p e z b w N T n L X > < a : K e y V a l u e O f D i a g r a m O b j e c t K e y a n y T y p e z b w N T n L X > < a : K e y > < K e y > T a b l e s \ W i n t e r   d a i l y   s i t r e p s \ C o l u m n s \ B e d s   c l o s e d   n o r o v i u s   u n o c c < / K e y > < / a : K e y > < a : V a l u e   i : t y p e = " D i a g r a m D i s p l a y N o d e V i e w S t a t e " > < H e i g h t > 1 5 0 < / H e i g h t > < I s E x p a n d e d > t r u e < / I s E x p a n d e d > < W i d t h > 2 0 0 < / W i d t h > < / a : V a l u e > < / a : K e y V a l u e O f D i a g r a m O b j e c t K e y a n y T y p e z b w N T n L X > < a : K e y V a l u e O f D i a g r a m O b j e c t K e y a n y T y p e z b w N T n L X > < a : K e y > < K e y > T a b l e s \ W i n t e r   d a i l y   s i t r e p s \ C o l u m n s \ A d u l t   C C   b e d s   a v a i l < / K e y > < / a : K e y > < a : V a l u e   i : t y p e = " D i a g r a m D i s p l a y N o d e V i e w S t a t e " > < H e i g h t > 1 5 0 < / H e i g h t > < I s E x p a n d e d > t r u e < / I s E x p a n d e d > < W i d t h > 2 0 0 < / W i d t h > < / a : V a l u e > < / a : K e y V a l u e O f D i a g r a m O b j e c t K e y a n y T y p e z b w N T n L X > < a : K e y V a l u e O f D i a g r a m O b j e c t K e y a n y T y p e z b w N T n L X > < a : K e y > < K e y > T a b l e s \ W i n t e r   d a i l y   s i t r e p s \ C o l u m n s \ A d u l t   C C   b e d s   o c c < / K e y > < / a : K e y > < a : V a l u e   i : t y p e = " D i a g r a m D i s p l a y N o d e V i e w S t a t e " > < H e i g h t > 1 5 0 < / H e i g h t > < I s E x p a n d e d > t r u e < / I s E x p a n d e d > < W i d t h > 2 0 0 < / W i d t h > < / a : V a l u e > < / a : K e y V a l u e O f D i a g r a m O b j e c t K e y a n y T y p e z b w N T n L X > < a : K e y V a l u e O f D i a g r a m O b j e c t K e y a n y T y p e z b w N T n L X > < a : K e y > < K e y > T a b l e s \ W i n t e r   d a i l y   s i t r e p s \ C o l u m n s \ P a e d   I n t   C a r e   A v a i l < / K e y > < / a : K e y > < a : V a l u e   i : t y p e = " D i a g r a m D i s p l a y N o d e V i e w S t a t e " > < H e i g h t > 1 5 0 < / H e i g h t > < I s E x p a n d e d > t r u e < / I s E x p a n d e d > < W i d t h > 2 0 0 < / W i d t h > < / a : V a l u e > < / a : K e y V a l u e O f D i a g r a m O b j e c t K e y a n y T y p e z b w N T n L X > < a : K e y V a l u e O f D i a g r a m O b j e c t K e y a n y T y p e z b w N T n L X > < a : K e y > < K e y > T a b l e s \ W i n t e r   d a i l y   s i t r e p s \ C o l u m n s \ P a e d   I n t   C a r e   O c c < / K e y > < / a : K e y > < a : V a l u e   i : t y p e = " D i a g r a m D i s p l a y N o d e V i e w S t a t e " > < H e i g h t > 1 5 0 < / H e i g h t > < I s E x p a n d e d > t r u e < / I s E x p a n d e d > < W i d t h > 2 0 0 < / W i d t h > < / a : V a l u e > < / a : K e y V a l u e O f D i a g r a m O b j e c t K e y a n y T y p e z b w N T n L X > < a : K e y V a l u e O f D i a g r a m O b j e c t K e y a n y T y p e z b w N T n L X > < a : K e y > < K e y > T a b l e s \ W i n t e r   d a i l y   s i t r e p s \ C o l u m n s \ N e o   I n t   C a r e   A v a i l < / K e y > < / a : K e y > < a : V a l u e   i : t y p e = " D i a g r a m D i s p l a y N o d e V i e w S t a t e " > < H e i g h t > 1 5 0 < / H e i g h t > < I s E x p a n d e d > t r u e < / I s E x p a n d e d > < W i d t h > 2 0 0 < / W i d t h > < / a : V a l u e > < / a : K e y V a l u e O f D i a g r a m O b j e c t K e y a n y T y p e z b w N T n L X > < a : K e y V a l u e O f D i a g r a m O b j e c t K e y a n y T y p e z b w N T n L X > < a : K e y > < K e y > T a b l e s \ W i n t e r   d a i l y   s i t r e p s \ C o l u m n s \ N e o   I n t   C a r e   o c c < / K e y > < / a : K e y > < a : V a l u e   i : t y p e = " D i a g r a m D i s p l a y N o d e V i e w S t a t e " > < H e i g h t > 1 5 0 < / H e i g h t > < I s E x p a n d e d > t r u e < / I s E x p a n d e d > < W i d t h > 2 0 0 < / W i d t h > < / a : V a l u e > < / a : K e y V a l u e O f D i a g r a m O b j e c t K e y a n y T y p e z b w N T n L X > < a : K e y V a l u e O f D i a g r a m O b j e c t K e y a n y T y p e z b w N T n L X > < a : K e y > < K e y > T a b l e s \ W i n t e r   d a i l y   s i t r e p s \ C o l u m n s \ O P E L   3   o r   a b o v e < / K e y > < / a : K e y > < a : V a l u e   i : t y p e = " D i a g r a m D i s p l a y N o d e V i e w S t a t e " > < H e i g h t > 1 5 0 < / H e i g h t > < I s E x p a n d e d > t r u e < / I s E x p a n d e d > < W i d t h > 2 0 0 < / W i d t h > < / a : V a l u e > < / a : K e y V a l u e O f D i a g r a m O b j e c t K e y a n y T y p e z b w N T n L X > < a : K e y V a l u e O f D i a g r a m O b j e c t K e y a n y T y p e z b w N T n L X > < a : K e y > < K e y > T a b l e s \ W i n t e r   d a i l y   s i t r e p s \ C o l u m n s \ W e e k e n d < / K e y > < / a : K e y > < a : V a l u e   i : t y p e = " D i a g r a m D i s p l a y N o d e V i e w S t a t e " > < H e i g h t > 1 5 0 < / H e i g h t > < I s E x p a n d e d > t r u e < / I s E x p a n d e d > < W i d t h > 2 0 0 < / W i d t h > < / a : V a l u e > < / a : K e y V a l u e O f D i a g r a m O b j e c t K e y a n y T y p e z b w N T n L X > < a : K e y V a l u e O f D i a g r a m O b j e c t K e y a n y T y p e z b w N T n L X > < a : K e y > < K e y > T a b l e s \ W i n t e r   d a i l y   s i t r e p s \ C o l u m n s \ R e g i o n < / K e y > < / a : K e y > < a : V a l u e   i : t y p e = " D i a g r a m D i s p l a y N o d e V i e w S t a t e " > < H e i g h t > 1 5 0 < / H e i g h t > < I s E x p a n d e d > t r u e < / I s E x p a n d e d > < W i d t h > 2 0 0 < / W i d t h > < / a : V a l u e > < / a : K e y V a l u e O f D i a g r a m O b j e c t K e y a n y T y p e z b w N T n L X > < a : K e y V a l u e O f D i a g r a m O b j e c t K e y a n y T y p e z b w N T n L X > < a : K e y > < K e y > T a b l e s \ W i n t e r   d a i l y   s i t r e p s \ C o l u m n s \ Y e a r < / K e y > < / a : K e y > < a : V a l u e   i : t y p e = " D i a g r a m D i s p l a y N o d e V i e w S t a t e " > < H e i g h t > 1 5 0 < / H e i g h t > < I s E x p a n d e d > t r u e < / I s E x p a n d e d > < W i d t h > 2 0 0 < / W i d t h > < / a : V a l u e > < / a : K e y V a l u e O f D i a g r a m O b j e c t K e y a n y T y p e z b w N T n L X > < a : K e y V a l u e O f D i a g r a m O b j e c t K e y a n y T y p e z b w N T n L X > < a : K e y > < K e y > T a b l e s \ W i n t e r   d a i l y   s i t r e p s \ C o l u m n s \ B e d s   o c c   o v e r   7   d a y s < / K e y > < / a : K e y > < a : V a l u e   i : t y p e = " D i a g r a m D i s p l a y N o d e V i e w S t a t e " > < H e i g h t > 1 5 0 < / H e i g h t > < I s E x p a n d e d > t r u e < / I s E x p a n d e d > < W i d t h > 2 0 0 < / W i d t h > < / a : V a l u e > < / a : K e y V a l u e O f D i a g r a m O b j e c t K e y a n y T y p e z b w N T n L X > < a : K e y V a l u e O f D i a g r a m O b j e c t K e y a n y T y p e z b w N T n L X > < a : K e y > < K e y > T a b l e s \ W i n t e r   d a i l y   s i t r e p s \ C o l u m n s \ B e d s   o c c   o v e r   2 1   d a y s < / K e y > < / a : K e y > < a : V a l u e   i : t y p e = " D i a g r a m D i s p l a y N o d e V i e w S t a t e " > < H e i g h t > 1 5 0 < / H e i g h t > < I s E x p a n d e d > t r u e < / I s E x p a n d e d > < W i d t h > 2 0 0 < / W i d t h > < / a : V a l u e > < / a : K e y V a l u e O f D i a g r a m O b j e c t K e y a n y T y p e z b w N T n L X > < a : K e y V a l u e O f D i a g r a m O b j e c t K e y a n y T y p e z b w N T n L X > < a : K e y > < K e y > T a b l e s \ W i n t e r   d a i l y   s i t r e p s \ C o l u m n s \ A m b   a r r i v a l s < / K e y > < / a : K e y > < a : V a l u e   i : t y p e = " D i a g r a m D i s p l a y N o d e V i e w S t a t e " > < H e i g h t > 1 5 0 < / H e i g h t > < I s E x p a n d e d > t r u e < / I s E x p a n d e d > < W i d t h > 2 0 0 < / W i d t h > < / a : V a l u e > < / a : K e y V a l u e O f D i a g r a m O b j e c t K e y a n y T y p e z b w N T n L X > < a : K e y V a l u e O f D i a g r a m O b j e c t K e y a n y T y p e z b w N T n L X > < a : K e y > < K e y > T a b l e s \ W i n t e r   d a i l y   s i t r e p s \ C o l u m n s \ A m b   d e l a y s   3 0 - 6 0   m i n s < / K e y > < / a : K e y > < a : V a l u e   i : t y p e = " D i a g r a m D i s p l a y N o d e V i e w S t a t e " > < H e i g h t > 1 5 0 < / H e i g h t > < I s E x p a n d e d > t r u e < / I s E x p a n d e d > < W i d t h > 2 0 0 < / W i d t h > < / a : V a l u e > < / a : K e y V a l u e O f D i a g r a m O b j e c t K e y a n y T y p e z b w N T n L X > < a : K e y V a l u e O f D i a g r a m O b j e c t K e y a n y T y p e z b w N T n L X > < a : K e y > < K e y > T a b l e s \ W i n t e r   d a i l y   s i t r e p s \ C o l u m n s \ A m b   d e l a y s   o v e r   6 0   m i n s < / K e y > < / a : K e y > < a : V a l u e   i : t y p e = " D i a g r a m D i s p l a y N o d e V i e w S t a t e " > < H e i g h t > 1 5 0 < / H e i g h t > < I s E x p a n d e d > t r u e < / I s E x p a n d e d > < W i d t h > 2 0 0 < / W i d t h > < / a : V a l u e > < / a : K e y V a l u e O f D i a g r a m O b j e c t K e y a n y T y p e z b w N T n L X > < a : K e y V a l u e O f D i a g r a m O b j e c t K e y a n y T y p e z b w N T n L X > < a : K e y > < K e y > T a b l e s \ W i n t e r   d a i l y   s i t r e p s \ C o l u m n s \ W e e k   l o n g < / K e y > < / a : K e y > < a : V a l u e   i : t y p e = " D i a g r a m D i s p l a y N o d e V i e w S t a t e " > < H e i g h t > 1 5 0 < / H e i g h t > < I s E x p a n d e d > t r u e < / I s E x p a n d e d > < W i d t h > 2 0 0 < / W i d t h > < / a : V a l u e > < / a : K e y V a l u e O f D i a g r a m O b j e c t K e y a n y T y p e z b w N T n L X > < a : K e y V a l u e O f D i a g r a m O b j e c t K e y a n y T y p e z b w N T n L X > < a : K e y > < K e y > T a b l e s \ W i n t e r   d a i l y   s i t r e p s \ C o l u m n s \ G A   b e d   o c c u p a n c y < / K e y > < / a : K e y > < a : V a l u e   i : t y p e = " D i a g r a m D i s p l a y N o d e V i e w S t a t e " > < H e i g h t > 1 5 0 < / H e i g h t > < I s E x p a n d e d > t r u e < / I s E x p a n d e d > < W i d t h > 2 0 0 < / W i d t h > < / a : V a l u e > < / a : K e y V a l u e O f D i a g r a m O b j e c t K e y a n y T y p e z b w N T n L X > < a : K e y V a l u e O f D i a g r a m O b j e c t K e y a n y T y p e z b w N T n L X > < a : K e y > < K e y > T a b l e s \ W i n t e r   d a i l y   s i t r e p s \ C o l u m n s \ B e d s   o c c   o v e r   1 4   d a y s < / K e y > < / a : K e y > < a : V a l u e   i : t y p e = " D i a g r a m D i s p l a y N o d e V i e w S t a t e " > < H e i g h t > 1 5 0 < / H e i g h t > < I s E x p a n d e d > t r u e < / I s E x p a n d e d > < W i d t h > 2 0 0 < / W i d t h > < / a : V a l u e > < / a : K e y V a l u e O f D i a g r a m O b j e c t K e y a n y T y p e z b w N T n L X > < a : K e y V a l u e O f D i a g r a m O b j e c t K e y a n y T y p e z b w N T n L X > < a : K e y > < K e y > T a b l e s \ W i n t e r   d a i l y   s i t r e p s \ C o l u m n s \ G A   f l u   b e d s < / K e y > < / a : K e y > < a : V a l u e   i : t y p e = " D i a g r a m D i s p l a y N o d e V i e w S t a t e " > < H e i g h t > 1 5 0 < / H e i g h t > < I s E x p a n d e d > t r u e < / I s E x p a n d e d > < W i d t h > 2 0 0 < / W i d t h > < / a : V a l u e > < / a : K e y V a l u e O f D i a g r a m O b j e c t K e y a n y T y p e z b w N T n L X > < a : K e y V a l u e O f D i a g r a m O b j e c t K e y a n y T y p e z b w N T n L X > < a : K e y > < K e y > T a b l e s \ W i n t e r   d a i l y   s i t r e p s \ C o l u m n s \ C C   f l u   b e d s < / K e y > < / a : K e y > < a : V a l u e   i : t y p e = " D i a g r a m D i s p l a y N o d e V i e w S t a t e " > < H e i g h t > 1 5 0 < / H e i g h t > < I s E x p a n d e d > t r u e < / I s E x p a n d e d > < W i d t h > 2 0 0 < / W i d t h > < / a : V a l u e > < / a : K e y V a l u e O f D i a g r a m O b j e c t K e y a n y T y p e z b w N T n L X > < a : K e y V a l u e O f D i a g r a m O b j e c t K e y a n y T y p e z b w N T n L X > < a : K e y > < K e y > T a b l e s \ W i n t e r   d a i l y   s i t r e p s \ C o l u m n s \ P a e d s   R S V   b e d s   c l o s e d < / K e y > < / a : K e y > < a : V a l u e   i : t y p e = " D i a g r a m D i s p l a y N o d e V i e w S t a t e " > < H e i g h t > 1 5 0 < / H e i g h t > < I s E x p a n d e d > t r u e < / I s E x p a n d e d > < W i d t h > 2 0 0 < / W i d t h > < / a : V a l u e > < / a : K e y V a l u e O f D i a g r a m O b j e c t K e y a n y T y p e z b w N T n L X > < a : K e y V a l u e O f D i a g r a m O b j e c t K e y a n y T y p e z b w N T n L X > < a : K e y > < K e y > T a b l e s \ W i n t e r   d a i l y   s i t r e p s \ C o l u m n s \ P a e d s   R S V   b e d s   c l o s e d   u n o c c < / K e y > < / a : K e y > < a : V a l u e   i : t y p e = " D i a g r a m D i s p l a y N o d e V i e w S t a t e " > < H e i g h t > 1 5 0 < / H e i g h t > < I s E x p a n d e d > t r u e < / I s E x p a n d e d > < W i d t h > 2 0 0 < / W i d t h > < / a : V a l u e > < / a : K e y V a l u e O f D i a g r a m O b j e c t K e y a n y T y p e z b w N T n L X > < a : K e y V a l u e O f D i a g r a m O b j e c t K e y a n y T y p e z b w N T n L X > < a : K e y > < K e y > T a b l e s \ W i n t e r   d a i l y   s i t r e p s \ M e a s u r e s \ S u m   o f   A E   d i v e r t s < / K e y > < / a : K e y > < a : V a l u e   i : t y p e = " D i a g r a m D i s p l a y N o d e V i e w S t a t e " > < H e i g h t > 1 5 0 < / H e i g h t > < I s E x p a n d e d > t r u e < / I s E x p a n d e d > < W i d t h > 2 0 0 < / W i d t h > < / a : V a l u e > < / a : K e y V a l u e O f D i a g r a m O b j e c t K e y a n y T y p e z b w N T n L X > < a : K e y V a l u e O f D i a g r a m O b j e c t K e y a n y T y p e z b w N T n L X > < a : K e y > < K e y > T a b l e s \ W i n t e r   d a i l y   s i t r e p s \ S u m   o f   A E   d i v e r t s \ A d d i t i o n a l   I n f o \ I m p l i c i t   M e a s u r e < / K e y > < / a : K e y > < a : V a l u e   i : t y p e = " D i a g r a m D i s p l a y V i e w S t a t e I D i a g r a m T a g A d d i t i o n a l I n f o " / > < / a : K e y V a l u e O f D i a g r a m O b j e c t K e y a n y T y p e z b w N T n L X > < a : K e y V a l u e O f D i a g r a m O b j e c t K e y a n y T y p e z b w N T n L X > < a : K e y > < K e y > T a b l e s \ W i n t e r   d a i l y   s i t r e p s \ M e a s u r e s \ S u m   o f   G A   t o t a l   b e d s   o c c u p i e d < / K e y > < / a : K e y > < a : V a l u e   i : t y p e = " D i a g r a m D i s p l a y N o d e V i e w S t a t e " > < H e i g h t > 1 5 0 < / H e i g h t > < I s E x p a n d e d > t r u e < / I s E x p a n d e d > < W i d t h > 2 0 0 < / W i d t h > < / a : V a l u e > < / a : K e y V a l u e O f D i a g r a m O b j e c t K e y a n y T y p e z b w N T n L X > < a : K e y V a l u e O f D i a g r a m O b j e c t K e y a n y T y p e z b w N T n L X > < a : K e y > < K e y > T a b l e s \ W i n t e r   d a i l y   s i t r e p s \ S u m   o f   G A   t o t a l   b e d s   o c c u p i e d \ A d d i t i o n a l   I n f o \ I m p l i c i t   M e a s u r e < / K e y > < / a : K e y > < a : V a l u e   i : t y p e = " D i a g r a m D i s p l a y V i e w S t a t e I D i a g r a m T a g A d d i t i o n a l I n f o " / > < / a : K e y V a l u e O f D i a g r a m O b j e c t K e y a n y T y p e z b w N T n L X > < a : K e y V a l u e O f D i a g r a m O b j e c t K e y a n y T y p e z b w N T n L X > < a : K e y > < K e y > T a b l e s \ W i n t e r   d a i l y   s i t r e p s \ M e a s u r e s \ A v e r a g e   o f   G A   t o t a l   b e d s   o c c u p i e d < / K e y > < / a : K e y > < a : V a l u e   i : t y p e = " D i a g r a m D i s p l a y N o d e V i e w S t a t e " > < H e i g h t > 1 5 0 < / H e i g h t > < I s E x p a n d e d > t r u e < / I s E x p a n d e d > < W i d t h > 2 0 0 < / W i d t h > < / a : V a l u e > < / a : K e y V a l u e O f D i a g r a m O b j e c t K e y a n y T y p e z b w N T n L X > < a : K e y V a l u e O f D i a g r a m O b j e c t K e y a n y T y p e z b w N T n L X > < a : K e y > < K e y > T a b l e s \ W i n t e r   d a i l y   s i t r e p s \ A v e r a g e   o f   G A   t o t a l   b e d s   o c c u p i e d \ A d d i t i o n a l   I n f o \ I m p l i c i t   M e a s u r e < / K e y > < / a : K e y > < a : V a l u e   i : t y p e = " D i a g r a m D i s p l a y V i e w S t a t e I D i a g r a m T a g A d d i t i o n a l I n f o " / > < / a : K e y V a l u e O f D i a g r a m O b j e c t K e y a n y T y p e z b w N T n L X > < a : K e y V a l u e O f D i a g r a m O b j e c t K e y a n y T y p e z b w N T n L X > < a : K e y > < K e y > T a b l e s \ W i n t e r   d a i l y   s i t r e p s \ M e a s u r e s \ S u m   o f   G A   t o t a l   b e d s   a v a i l < / K e y > < / a : K e y > < a : V a l u e   i : t y p e = " D i a g r a m D i s p l a y N o d e V i e w S t a t e " > < H e i g h t > 1 5 0 < / H e i g h t > < I s E x p a n d e d > t r u e < / I s E x p a n d e d > < W i d t h > 2 0 0 < / W i d t h > < / a : V a l u e > < / a : K e y V a l u e O f D i a g r a m O b j e c t K e y a n y T y p e z b w N T n L X > < a : K e y V a l u e O f D i a g r a m O b j e c t K e y a n y T y p e z b w N T n L X > < a : K e y > < K e y > T a b l e s \ W i n t e r   d a i l y   s i t r e p s \ S u m   o f   G A   t o t a l   b e d s   a v a i l \ A d d i t i o n a l   I n f o \ I m p l i c i t   M e a s u r e < / K e y > < / a : K e y > < a : V a l u e   i : t y p e = " D i a g r a m D i s p l a y V i e w S t a t e I D i a g r a m T a g A d d i t i o n a l I n f o " / > < / a : K e y V a l u e O f D i a g r a m O b j e c t K e y a n y T y p e z b w N T n L X > < a : K e y V a l u e O f D i a g r a m O b j e c t K e y a n y T y p e z b w N T n L X > < a : K e y > < K e y > T a b l e s \ W i n t e r   d a i l y   s i t r e p s \ M e a s u r e s \ S u m   o f   B e d s   o c c   o v e r   7   d a y s < / K e y > < / a : K e y > < a : V a l u e   i : t y p e = " D i a g r a m D i s p l a y N o d e V i e w S t a t e " > < H e i g h t > 1 5 0 < / H e i g h t > < I s E x p a n d e d > t r u e < / I s E x p a n d e d > < W i d t h > 2 0 0 < / W i d t h > < / a : V a l u e > < / a : K e y V a l u e O f D i a g r a m O b j e c t K e y a n y T y p e z b w N T n L X > < a : K e y V a l u e O f D i a g r a m O b j e c t K e y a n y T y p e z b w N T n L X > < a : K e y > < K e y > T a b l e s \ W i n t e r   d a i l y   s i t r e p s \ S u m   o f   B e d s   o c c   o v e r   7   d a y s \ A d d i t i o n a l   I n f o \ I m p l i c i t   M e a s u r e < / K e y > < / a : K e y > < a : V a l u e   i : t y p e = " D i a g r a m D i s p l a y V i e w S t a t e I D i a g r a m T a g A d d i t i o n a l I n f o " / > < / a : K e y V a l u e O f D i a g r a m O b j e c t K e y a n y T y p e z b w N T n L X > < a : K e y V a l u e O f D i a g r a m O b j e c t K e y a n y T y p e z b w N T n L X > < a : K e y > < K e y > T a b l e s \ W i n t e r   d a i l y   s i t r e p s \ M e a s u r e s \ S u m   o f   B e d s   o c c   o v e r   2 1   d a y s < / K e y > < / a : K e y > < a : V a l u e   i : t y p e = " D i a g r a m D i s p l a y N o d e V i e w S t a t e " > < H e i g h t > 1 5 0 < / H e i g h t > < I s E x p a n d e d > t r u e < / I s E x p a n d e d > < W i d t h > 2 0 0 < / W i d t h > < / a : V a l u e > < / a : K e y V a l u e O f D i a g r a m O b j e c t K e y a n y T y p e z b w N T n L X > < a : K e y V a l u e O f D i a g r a m O b j e c t K e y a n y T y p e z b w N T n L X > < a : K e y > < K e y > T a b l e s \ W i n t e r   d a i l y   s i t r e p s \ S u m   o f   B e d s   o c c   o v e r   2 1   d a y s \ A d d i t i o n a l   I n f o \ I m p l i c i t   M e a s u r e < / K e y > < / a : K e y > < a : V a l u e   i : t y p e = " D i a g r a m D i s p l a y V i e w S t a t e I D i a g r a m T a g A d d i t i o n a l I n f o " / > < / a : K e y V a l u e O f D i a g r a m O b j e c t K e y a n y T y p e z b w N T n L X > < a : K e y V a l u e O f D i a g r a m O b j e c t K e y a n y T y p e z b w N T n L X > < a : K e y > < K e y > T a b l e s \ W i n t e r   d a i l y   s i t r e p s \ M e a s u r e s \ A v e r a g e   o f   B e d s   o c c   o v e r   2 1   d a y s < / K e y > < / a : K e y > < a : V a l u e   i : t y p e = " D i a g r a m D i s p l a y N o d e V i e w S t a t e " > < H e i g h t > 1 5 0 < / H e i g h t > < I s E x p a n d e d > t r u e < / I s E x p a n d e d > < W i d t h > 2 0 0 < / W i d t h > < / a : V a l u e > < / a : K e y V a l u e O f D i a g r a m O b j e c t K e y a n y T y p e z b w N T n L X > < a : K e y V a l u e O f D i a g r a m O b j e c t K e y a n y T y p e z b w N T n L X > < a : K e y > < K e y > T a b l e s \ W i n t e r   d a i l y   s i t r e p s \ A v e r a g e   o f   B e d s   o c c   o v e r   2 1   d a y s \ A d d i t i o n a l   I n f o \ I m p l i c i t   M e a s u r e < / K e y > < / a : K e y > < a : V a l u e   i : t y p e = " D i a g r a m D i s p l a y V i e w S t a t e I D i a g r a m T a g A d d i t i o n a l I n f o " / > < / a : K e y V a l u e O f D i a g r a m O b j e c t K e y a n y T y p e z b w N T n L X > < a : K e y V a l u e O f D i a g r a m O b j e c t K e y a n y T y p e z b w N T n L X > < a : K e y > < K e y > T a b l e s \ W i n t e r   d a i l y   s i t r e p s \ M e a s u r e s \ S u m   o f   B e d s   c l o s e d   n o r o v i r u s < / K e y > < / a : K e y > < a : V a l u e   i : t y p e = " D i a g r a m D i s p l a y N o d e V i e w S t a t e " > < H e i g h t > 1 5 0 < / H e i g h t > < I s E x p a n d e d > t r u e < / I s E x p a n d e d > < W i d t h > 2 0 0 < / W i d t h > < / a : V a l u e > < / a : K e y V a l u e O f D i a g r a m O b j e c t K e y a n y T y p e z b w N T n L X > < a : K e y V a l u e O f D i a g r a m O b j e c t K e y a n y T y p e z b w N T n L X > < a : K e y > < K e y > T a b l e s \ W i n t e r   d a i l y   s i t r e p s \ S u m   o f   B e d s   c l o s e d   n o r o v i r u s \ A d d i t i o n a l   I n f o \ I m p l i c i t   M e a s u r e < / K e y > < / a : K e y > < a : V a l u e   i : t y p e = " D i a g r a m D i s p l a y V i e w S t a t e I D i a g r a m T a g A d d i t i o n a l I n f o " / > < / a : K e y V a l u e O f D i a g r a m O b j e c t K e y a n y T y p e z b w N T n L X > < a : K e y V a l u e O f D i a g r a m O b j e c t K e y a n y T y p e z b w N T n L X > < a : K e y > < K e y > T a b l e s \ W i n t e r   d a i l y   s i t r e p s \ M e a s u r e s \ A v e r a g e   o f   B e d s   c l o s e d   n o r o v i r u s < / K e y > < / a : K e y > < a : V a l u e   i : t y p e = " D i a g r a m D i s p l a y N o d e V i e w S t a t e " > < H e i g h t > 1 5 0 < / H e i g h t > < I s E x p a n d e d > t r u e < / I s E x p a n d e d > < W i d t h > 2 0 0 < / W i d t h > < / a : V a l u e > < / a : K e y V a l u e O f D i a g r a m O b j e c t K e y a n y T y p e z b w N T n L X > < a : K e y V a l u e O f D i a g r a m O b j e c t K e y a n y T y p e z b w N T n L X > < a : K e y > < K e y > T a b l e s \ W i n t e r   d a i l y   s i t r e p s \ A v e r a g e   o f   B e d s   c l o s e d   n o r o v i r u s \ A d d i t i o n a l   I n f o \ I m p l i c i t   M e a s u r e < / K e y > < / a : K e y > < a : V a l u e   i : t y p e = " D i a g r a m D i s p l a y V i e w S t a t e I D i a g r a m T a g A d d i t i o n a l I n f o " / > < / a : K e y V a l u e O f D i a g r a m O b j e c t K e y a n y T y p e z b w N T n L X > < a : K e y V a l u e O f D i a g r a m O b j e c t K e y a n y T y p e z b w N T n L X > < a : K e y > < K e y > T a b l e s \ W i n t e r   d a i l y   s i t r e p s \ M e a s u r e s \ S u m   o f   B e d s   c l o s e d   n o r o v i u s   u n o c c < / K e y > < / a : K e y > < a : V a l u e   i : t y p e = " D i a g r a m D i s p l a y N o d e V i e w S t a t e " > < H e i g h t > 1 5 0 < / H e i g h t > < I s E x p a n d e d > t r u e < / I s E x p a n d e d > < W i d t h > 2 0 0 < / W i d t h > < / a : V a l u e > < / a : K e y V a l u e O f D i a g r a m O b j e c t K e y a n y T y p e z b w N T n L X > < a : K e y V a l u e O f D i a g r a m O b j e c t K e y a n y T y p e z b w N T n L X > < a : K e y > < K e y > T a b l e s \ W i n t e r   d a i l y   s i t r e p s \ S u m   o f   B e d s   c l o s e d   n o r o v i u s   u n o c c \ A d d i t i o n a l   I n f o \ I m p l i c i t   M e a s u r e < / K e y > < / a : K e y > < a : V a l u e   i : t y p e = " D i a g r a m D i s p l a y V i e w S t a t e I D i a g r a m T a g A d d i t i o n a l I n f o " / > < / a : K e y V a l u e O f D i a g r a m O b j e c t K e y a n y T y p e z b w N T n L X > < a : K e y V a l u e O f D i a g r a m O b j e c t K e y a n y T y p e z b w N T n L X > < a : K e y > < K e y > T a b l e s \ W i n t e r   d a i l y   s i t r e p s \ M e a s u r e s \ S u m   o f   A m b   a r r i v a l s < / K e y > < / a : K e y > < a : V a l u e   i : t y p e = " D i a g r a m D i s p l a y N o d e V i e w S t a t e " > < H e i g h t > 1 5 0 < / H e i g h t > < I s E x p a n d e d > t r u e < / I s E x p a n d e d > < W i d t h > 2 0 0 < / W i d t h > < / a : V a l u e > < / a : K e y V a l u e O f D i a g r a m O b j e c t K e y a n y T y p e z b w N T n L X > < a : K e y V a l u e O f D i a g r a m O b j e c t K e y a n y T y p e z b w N T n L X > < a : K e y > < K e y > T a b l e s \ W i n t e r   d a i l y   s i t r e p s \ S u m   o f   A m b   a r r i v a l s \ A d d i t i o n a l   I n f o \ I m p l i c i t   M e a s u r e < / K e y > < / a : K e y > < a : V a l u e   i : t y p e = " D i a g r a m D i s p l a y V i e w S t a t e I D i a g r a m T a g A d d i t i o n a l I n f o " / > < / a : K e y V a l u e O f D i a g r a m O b j e c t K e y a n y T y p e z b w N T n L X > < a : K e y V a l u e O f D i a g r a m O b j e c t K e y a n y T y p e z b w N T n L X > < a : K e y > < K e y > T a b l e s \ W i n t e r   d a i l y   s i t r e p s \ M e a s u r e s \ S u m   o f   A m b   d e l a y s   3 0 - 6 0   m i n s < / K e y > < / a : K e y > < a : V a l u e   i : t y p e = " D i a g r a m D i s p l a y N o d e V i e w S t a t e " > < H e i g h t > 1 5 0 < / H e i g h t > < I s E x p a n d e d > t r u e < / I s E x p a n d e d > < W i d t h > 2 0 0 < / W i d t h > < / a : V a l u e > < / a : K e y V a l u e O f D i a g r a m O b j e c t K e y a n y T y p e z b w N T n L X > < a : K e y V a l u e O f D i a g r a m O b j e c t K e y a n y T y p e z b w N T n L X > < a : K e y > < K e y > T a b l e s \ W i n t e r   d a i l y   s i t r e p s \ S u m   o f   A m b   d e l a y s   3 0 - 6 0   m i n s \ A d d i t i o n a l   I n f o \ I m p l i c i t   M e a s u r e < / K e y > < / a : K e y > < a : V a l u e   i : t y p e = " D i a g r a m D i s p l a y V i e w S t a t e I D i a g r a m T a g A d d i t i o n a l I n f o " / > < / a : K e y V a l u e O f D i a g r a m O b j e c t K e y a n y T y p e z b w N T n L X > < a : K e y V a l u e O f D i a g r a m O b j e c t K e y a n y T y p e z b w N T n L X > < a : K e y > < K e y > T a b l e s \ W i n t e r   d a i l y   s i t r e p s \ M e a s u r e s \ S u m   o f   A m b   d e l a y s   o v e r   6 0   m i n s < / K e y > < / a : K e y > < a : V a l u e   i : t y p e = " D i a g r a m D i s p l a y N o d e V i e w S t a t e " > < H e i g h t > 1 5 0 < / H e i g h t > < I s E x p a n d e d > t r u e < / I s E x p a n d e d > < W i d t h > 2 0 0 < / W i d t h > < / a : V a l u e > < / a : K e y V a l u e O f D i a g r a m O b j e c t K e y a n y T y p e z b w N T n L X > < a : K e y V a l u e O f D i a g r a m O b j e c t K e y a n y T y p e z b w N T n L X > < a : K e y > < K e y > T a b l e s \ W i n t e r   d a i l y   s i t r e p s \ S u m   o f   A m b   d e l a y s   o v e r   6 0   m i n s \ A d d i t i o n a l   I n f o \ I m p l i c i t   M e a s u r e < / K e y > < / a : K e y > < a : V a l u e   i : t y p e = " D i a g r a m D i s p l a y V i e w S t a t e I D i a g r a m T a g A d d i t i o n a l I n f o " / > < / a : K e y V a l u e O f D i a g r a m O b j e c t K e y a n y T y p e z b w N T n L X > < a : K e y V a l u e O f D i a g r a m O b j e c t K e y a n y T y p e z b w N T n L X > < a : K e y > < K e y > T a b l e s \ W i n t e r   d a i l y   s i t r e p s \ M e a s u r e s \ S u m   o f   A d u l t   C C   b e d s   a v a i l < / K e y > < / a : K e y > < a : V a l u e   i : t y p e = " D i a g r a m D i s p l a y N o d e V i e w S t a t e " > < H e i g h t > 1 5 0 < / H e i g h t > < I s E x p a n d e d > t r u e < / I s E x p a n d e d > < W i d t h > 2 0 0 < / W i d t h > < / a : V a l u e > < / a : K e y V a l u e O f D i a g r a m O b j e c t K e y a n y T y p e z b w N T n L X > < a : K e y V a l u e O f D i a g r a m O b j e c t K e y a n y T y p e z b w N T n L X > < a : K e y > < K e y > T a b l e s \ W i n t e r   d a i l y   s i t r e p s \ S u m   o f   A d u l t   C C   b e d s   a v a i l \ A d d i t i o n a l   I n f o \ I m p l i c i t   M e a s u r e < / K e y > < / a : K e y > < a : V a l u e   i : t y p e = " D i a g r a m D i s p l a y V i e w S t a t e I D i a g r a m T a g A d d i t i o n a l I n f o " / > < / a : K e y V a l u e O f D i a g r a m O b j e c t K e y a n y T y p e z b w N T n L X > < a : K e y V a l u e O f D i a g r a m O b j e c t K e y a n y T y p e z b w N T n L X > < a : K e y > < K e y > T a b l e s \ W i n t e r   d a i l y   s i t r e p s \ M e a s u r e s \ S u m   o f   A d u l t   C C   b e d s   o c c < / K e y > < / a : K e y > < a : V a l u e   i : t y p e = " D i a g r a m D i s p l a y N o d e V i e w S t a t e " > < H e i g h t > 1 5 0 < / H e i g h t > < I s E x p a n d e d > t r u e < / I s E x p a n d e d > < W i d t h > 2 0 0 < / W i d t h > < / a : V a l u e > < / a : K e y V a l u e O f D i a g r a m O b j e c t K e y a n y T y p e z b w N T n L X > < a : K e y V a l u e O f D i a g r a m O b j e c t K e y a n y T y p e z b w N T n L X > < a : K e y > < K e y > T a b l e s \ W i n t e r   d a i l y   s i t r e p s \ S u m   o f   A d u l t   C C   b e d s   o c c \ A d d i t i o n a l   I n f o \ I m p l i c i t   M e a s u r e < / K e y > < / a : K e y > < a : V a l u e   i : t y p e = " D i a g r a m D i s p l a y V i e w S t a t e I D i a g r a m T a g A d d i t i o n a l I n f o " / > < / a : K e y V a l u e O f D i a g r a m O b j e c t K e y a n y T y p e z b w N T n L X > < a : K e y V a l u e O f D i a g r a m O b j e c t K e y a n y T y p e z b w N T n L X > < a : K e y > < K e y > T a b l e s \ W i n t e r   d a i l y   s i t r e p s \ M e a s u r e s \ S u m   o f   P a e d   I n t   C a r e   A v a i l < / K e y > < / a : K e y > < a : V a l u e   i : t y p e = " D i a g r a m D i s p l a y N o d e V i e w S t a t e " > < H e i g h t > 1 5 0 < / H e i g h t > < I s E x p a n d e d > t r u e < / I s E x p a n d e d > < W i d t h > 2 0 0 < / W i d t h > < / a : V a l u e > < / a : K e y V a l u e O f D i a g r a m O b j e c t K e y a n y T y p e z b w N T n L X > < a : K e y V a l u e O f D i a g r a m O b j e c t K e y a n y T y p e z b w N T n L X > < a : K e y > < K e y > T a b l e s \ W i n t e r   d a i l y   s i t r e p s \ S u m   o f   P a e d   I n t   C a r e   A v a i l \ A d d i t i o n a l   I n f o \ I m p l i c i t   M e a s u r e < / K e y > < / a : K e y > < a : V a l u e   i : t y p e = " D i a g r a m D i s p l a y V i e w S t a t e I D i a g r a m T a g A d d i t i o n a l I n f o " / > < / a : K e y V a l u e O f D i a g r a m O b j e c t K e y a n y T y p e z b w N T n L X > < a : K e y V a l u e O f D i a g r a m O b j e c t K e y a n y T y p e z b w N T n L X > < a : K e y > < K e y > T a b l e s \ W i n t e r   d a i l y   s i t r e p s \ M e a s u r e s \ S u m   o f   P a e d   I n t   C a r e   O c c < / K e y > < / a : K e y > < a : V a l u e   i : t y p e = " D i a g r a m D i s p l a y N o d e V i e w S t a t e " > < H e i g h t > 1 5 0 < / H e i g h t > < I s E x p a n d e d > t r u e < / I s E x p a n d e d > < W i d t h > 2 0 0 < / W i d t h > < / a : V a l u e > < / a : K e y V a l u e O f D i a g r a m O b j e c t K e y a n y T y p e z b w N T n L X > < a : K e y V a l u e O f D i a g r a m O b j e c t K e y a n y T y p e z b w N T n L X > < a : K e y > < K e y > T a b l e s \ W i n t e r   d a i l y   s i t r e p s \ S u m   o f   P a e d   I n t   C a r e   O c c \ A d d i t i o n a l   I n f o \ I m p l i c i t   M e a s u r e < / K e y > < / a : K e y > < a : V a l u e   i : t y p e = " D i a g r a m D i s p l a y V i e w S t a t e I D i a g r a m T a g A d d i t i o n a l I n f o " / > < / a : K e y V a l u e O f D i a g r a m O b j e c t K e y a n y T y p e z b w N T n L X > < a : K e y V a l u e O f D i a g r a m O b j e c t K e y a n y T y p e z b w N T n L X > < a : K e y > < K e y > T a b l e s \ W i n t e r   d a i l y   s i t r e p s \ M e a s u r e s \ S u m   o f   N e o   I n t   C a r e   A v a i l < / K e y > < / a : K e y > < a : V a l u e   i : t y p e = " D i a g r a m D i s p l a y N o d e V i e w S t a t e " > < H e i g h t > 1 5 0 < / H e i g h t > < I s E x p a n d e d > t r u e < / I s E x p a n d e d > < W i d t h > 2 0 0 < / W i d t h > < / a : V a l u e > < / a : K e y V a l u e O f D i a g r a m O b j e c t K e y a n y T y p e z b w N T n L X > < a : K e y V a l u e O f D i a g r a m O b j e c t K e y a n y T y p e z b w N T n L X > < a : K e y > < K e y > T a b l e s \ W i n t e r   d a i l y   s i t r e p s \ S u m   o f   N e o   I n t   C a r e   A v a i l \ A d d i t i o n a l   I n f o \ I m p l i c i t   M e a s u r e < / K e y > < / a : K e y > < a : V a l u e   i : t y p e = " D i a g r a m D i s p l a y V i e w S t a t e I D i a g r a m T a g A d d i t i o n a l I n f o " / > < / a : K e y V a l u e O f D i a g r a m O b j e c t K e y a n y T y p e z b w N T n L X > < a : K e y V a l u e O f D i a g r a m O b j e c t K e y a n y T y p e z b w N T n L X > < a : K e y > < K e y > T a b l e s \ W i n t e r   d a i l y   s i t r e p s \ M e a s u r e s \ S u m   o f   N e o   I n t   C a r e   o c c < / K e y > < / a : K e y > < a : V a l u e   i : t y p e = " D i a g r a m D i s p l a y N o d e V i e w S t a t e " > < H e i g h t > 1 5 0 < / H e i g h t > < I s E x p a n d e d > t r u e < / I s E x p a n d e d > < W i d t h > 2 0 0 < / W i d t h > < / a : V a l u e > < / a : K e y V a l u e O f D i a g r a m O b j e c t K e y a n y T y p e z b w N T n L X > < a : K e y V a l u e O f D i a g r a m O b j e c t K e y a n y T y p e z b w N T n L X > < a : K e y > < K e y > T a b l e s \ W i n t e r   d a i l y   s i t r e p s \ S u m   o f   N e o   I n t   C a r e   o c c \ A d d i t i o n a l   I n f o \ I m p l i c i t   M e a s u r e < / K e y > < / a : K e y > < a : V a l u e   i : t y p e = " D i a g r a m D i s p l a y V i e w S t a t e I D i a g r a m T a g A d d i t i o n a l I n f o " / > < / a : K e y V a l u e O f D i a g r a m O b j e c t K e y a n y T y p e z b w N T n L X > < a : K e y V a l u e O f D i a g r a m O b j e c t K e y a n y T y p e z b w N T n L X > < a : K e y > < K e y > T a b l e s \ W i n t e r   d a i l y   s i t r e p s \ M e a s u r e s \ A v e r a g e   o f   N e o   I n t   C a r e   A v a i l < / K e y > < / a : K e y > < a : V a l u e   i : t y p e = " D i a g r a m D i s p l a y N o d e V i e w S t a t e " > < H e i g h t > 1 5 0 < / H e i g h t > < I s E x p a n d e d > t r u e < / I s E x p a n d e d > < W i d t h > 2 0 0 < / W i d t h > < / a : V a l u e > < / a : K e y V a l u e O f D i a g r a m O b j e c t K e y a n y T y p e z b w N T n L X > < a : K e y V a l u e O f D i a g r a m O b j e c t K e y a n y T y p e z b w N T n L X > < a : K e y > < K e y > T a b l e s \ W i n t e r   d a i l y   s i t r e p s \ A v e r a g e   o f   N e o   I n t   C a r e   A v a i l \ A d d i t i o n a l   I n f o \ I m p l i c i t   M e a s u r e < / K e y > < / a : K e y > < a : V a l u e   i : t y p e = " D i a g r a m D i s p l a y V i e w S t a t e I D i a g r a m T a g A d d i t i o n a l I n f o " / > < / a : K e y V a l u e O f D i a g r a m O b j e c t K e y a n y T y p e z b w N T n L X > < a : K e y V a l u e O f D i a g r a m O b j e c t K e y a n y T y p e z b w N T n L X > < a : K e y > < K e y > T a b l e s \ W i n t e r   d a i l y   s i t r e p s \ M e a s u r e s \ A v e r a g e   o f   N e o   I n t   C a r e   o c c < / K e y > < / a : K e y > < a : V a l u e   i : t y p e = " D i a g r a m D i s p l a y N o d e V i e w S t a t e " > < H e i g h t > 1 5 0 < / H e i g h t > < I s E x p a n d e d > t r u e < / I s E x p a n d e d > < W i d t h > 2 0 0 < / W i d t h > < / a : V a l u e > < / a : K e y V a l u e O f D i a g r a m O b j e c t K e y a n y T y p e z b w N T n L X > < a : K e y V a l u e O f D i a g r a m O b j e c t K e y a n y T y p e z b w N T n L X > < a : K e y > < K e y > T a b l e s \ W i n t e r   d a i l y   s i t r e p s \ A v e r a g e   o f   N e o   I n t   C a r e   o c c \ A d d i t i o n a l   I n f o \ I m p l i c i t   M e a s u r e < / K e y > < / a : K e y > < a : V a l u e   i : t y p e = " D i a g r a m D i s p l a y V i e w S t a t e I D i a g r a m T a g A d d i t i o n a l I n f o " / > < / a : K e y V a l u e O f D i a g r a m O b j e c t K e y a n y T y p e z b w N T n L X > < a : K e y V a l u e O f D i a g r a m O b j e c t K e y a n y T y p e z b w N T n L X > < a : K e y > < K e y > T a b l e s \ W i n t e r   d a i l y   s i t r e p s \ M e a s u r e s \ S u m   o f   G A   b e d   o c c u p a n c y < / K e y > < / a : K e y > < a : V a l u e   i : t y p e = " D i a g r a m D i s p l a y N o d e V i e w S t a t e " > < H e i g h t > 1 5 0 < / H e i g h t > < I s E x p a n d e d > t r u e < / I s E x p a n d e d > < W i d t h > 2 0 0 < / W i d t h > < / a : V a l u e > < / a : K e y V a l u e O f D i a g r a m O b j e c t K e y a n y T y p e z b w N T n L X > < a : K e y V a l u e O f D i a g r a m O b j e c t K e y a n y T y p e z b w N T n L X > < a : K e y > < K e y > T a b l e s \ W i n t e r   d a i l y   s i t r e p s \ S u m   o f   G A   b e d   o c c u p a n c y \ A d d i t i o n a l   I n f o \ I m p l i c i t   M e a s u r e < / K e y > < / a : K e y > < a : V a l u e   i : t y p e = " D i a g r a m D i s p l a y V i e w S t a t e I D i a g r a m T a g A d d i t i o n a l I n f o " / > < / a : K e y V a l u e O f D i a g r a m O b j e c t K e y a n y T y p e z b w N T n L X > < a : K e y V a l u e O f D i a g r a m O b j e c t K e y a n y T y p e z b w N T n L X > < a : K e y > < K e y > T a b l e s \ W i n t e r   d a i l y   s i t r e p s \ M e a s u r e s \ A v e r a g e   o f   G A   b e d   o c c u p a n c y < / K e y > < / a : K e y > < a : V a l u e   i : t y p e = " D i a g r a m D i s p l a y N o d e V i e w S t a t e " > < H e i g h t > 1 5 0 < / H e i g h t > < I s E x p a n d e d > t r u e < / I s E x p a n d e d > < W i d t h > 2 0 0 < / W i d t h > < / a : V a l u e > < / a : K e y V a l u e O f D i a g r a m O b j e c t K e y a n y T y p e z b w N T n L X > < a : K e y V a l u e O f D i a g r a m O b j e c t K e y a n y T y p e z b w N T n L X > < a : K e y > < K e y > T a b l e s \ W i n t e r   d a i l y   s i t r e p s \ A v e r a g e   o f   G A   b e d   o c c u p a n c y \ A d d i t i o n a l   I n f o \ I m p l i c i t   M e a s u r e < / K e y > < / a : K e y > < a : V a l u e   i : t y p e = " D i a g r a m D i s p l a y V i e w S t a t e I D i a g r a m T a g A d d i t i o n a l I n f o " / > < / a : K e y V a l u e O f D i a g r a m O b j e c t K e y a n y T y p e z b w N T n L X > < a : K e y V a l u e O f D i a g r a m O b j e c t K e y a n y T y p e z b w N T n L X > < a : K e y > < K e y > T a b l e s \ W i n t e r   d a i l y   s i t r e p s \ M e a s u r e s \ S u m   o f   G A   c o r e   b e d s   a v a i l < / K e y > < / a : K e y > < a : V a l u e   i : t y p e = " D i a g r a m D i s p l a y N o d e V i e w S t a t e " > < H e i g h t > 1 5 0 < / H e i g h t > < I s E x p a n d e d > t r u e < / I s E x p a n d e d > < W i d t h > 2 0 0 < / W i d t h > < / a : V a l u e > < / a : K e y V a l u e O f D i a g r a m O b j e c t K e y a n y T y p e z b w N T n L X > < a : K e y V a l u e O f D i a g r a m O b j e c t K e y a n y T y p e z b w N T n L X > < a : K e y > < K e y > T a b l e s \ W i n t e r   d a i l y   s i t r e p s \ S u m   o f   G A   c o r e   b e d s   a v a i l \ A d d i t i o n a l   I n f o \ I m p l i c i t   M e a s u r e < / K e y > < / a : K e y > < a : V a l u e   i : t y p e = " D i a g r a m D i s p l a y V i e w S t a t e I D i a g r a m T a g A d d i t i o n a l I n f o " / > < / a : K e y V a l u e O f D i a g r a m O b j e c t K e y a n y T y p e z b w N T n L X > < a : K e y V a l u e O f D i a g r a m O b j e c t K e y a n y T y p e z b w N T n L X > < a : K e y > < K e y > T a b l e s \ W i n t e r   d a i l y   s i t r e p s \ M e a s u r e s \ S u m   o f   G A   e s c a l a t i o n   b e d s   a v a i l < / K e y > < / a : K e y > < a : V a l u e   i : t y p e = " D i a g r a m D i s p l a y N o d e V i e w S t a t e " > < H e i g h t > 1 5 0 < / H e i g h t > < I s E x p a n d e d > t r u e < / I s E x p a n d e d > < W i d t h > 2 0 0 < / W i d t h > < / a : V a l u e > < / a : K e y V a l u e O f D i a g r a m O b j e c t K e y a n y T y p e z b w N T n L X > < a : K e y V a l u e O f D i a g r a m O b j e c t K e y a n y T y p e z b w N T n L X > < a : K e y > < K e y > T a b l e s \ W i n t e r   d a i l y   s i t r e p s \ S u m   o f   G A   e s c a l a t i o n   b e d s   a v a i l \ A d d i t i o n a l   I n f o \ I m p l i c i t   M e a s u r e < / K e y > < / a : K e y > < a : V a l u e   i : t y p e = " D i a g r a m D i s p l a y V i e w S t a t e I D i a g r a m T a g A d d i t i o n a l I n f o " / > < / a : K e y V a l u e O f D i a g r a m O b j e c t K e y a n y T y p e z b w N T n L X > < a : K e y V a l u e O f D i a g r a m O b j e c t K e y a n y T y p e z b w N T n L X > < a : K e y > < K e y > T a b l e s \ W i n t e r   d a i l y   s i t r e p s \ M e a s u r e s \ S u m   o f   B e d s   o c c   o v e r   1 4   d a y s   2 < / K e y > < / a : K e y > < a : V a l u e   i : t y p e = " D i a g r a m D i s p l a y N o d e V i e w S t a t e " > < H e i g h t > 1 5 0 < / H e i g h t > < I s E x p a n d e d > t r u e < / I s E x p a n d e d > < W i d t h > 2 0 0 < / W i d t h > < / a : V a l u e > < / a : K e y V a l u e O f D i a g r a m O b j e c t K e y a n y T y p e z b w N T n L X > < a : K e y V a l u e O f D i a g r a m O b j e c t K e y a n y T y p e z b w N T n L X > < a : K e y > < K e y > T a b l e s \ W i n t e r   d a i l y   s i t r e p s \ S u m   o f   B e d s   o c c   o v e r   1 4   d a y s   2 \ A d d i t i o n a l   I n f o \ I m p l i c i t   M e a s u r e < / K e y > < / a : K e y > < a : V a l u e   i : t y p e = " D i a g r a m D i s p l a y V i e w S t a t e I D i a g r a m T a g A d d i t i o n a l I n f o " / > < / a : K e y V a l u e O f D i a g r a m O b j e c t K e y a n y T y p e z b w N T n L X > < a : K e y V a l u e O f D i a g r a m O b j e c t K e y a n y T y p e z b w N T n L X > < a : K e y > < K e y > T a b l e s \ W i n t e r   d a i l y   s i t r e p s \ M e a s u r e s \ S u m   o f   G A   f l u   b e d s < / K e y > < / a : K e y > < a : V a l u e   i : t y p e = " D i a g r a m D i s p l a y N o d e V i e w S t a t e " > < H e i g h t > 1 5 0 < / H e i g h t > < I s E x p a n d e d > t r u e < / I s E x p a n d e d > < W i d t h > 2 0 0 < / W i d t h > < / a : V a l u e > < / a : K e y V a l u e O f D i a g r a m O b j e c t K e y a n y T y p e z b w N T n L X > < a : K e y V a l u e O f D i a g r a m O b j e c t K e y a n y T y p e z b w N T n L X > < a : K e y > < K e y > T a b l e s \ W i n t e r   d a i l y   s i t r e p s \ S u m   o f   G A   f l u   b e d s \ A d d i t i o n a l   I n f o \ I m p l i c i t   M e a s u r e < / K e y > < / a : K e y > < a : V a l u e   i : t y p e = " D i a g r a m D i s p l a y V i e w S t a t e I D i a g r a m T a g A d d i t i o n a l I n f o " / > < / a : K e y V a l u e O f D i a g r a m O b j e c t K e y a n y T y p e z b w N T n L X > < a : K e y V a l u e O f D i a g r a m O b j e c t K e y a n y T y p e z b w N T n L X > < a : K e y > < K e y > T a b l e s \ W i n t e r   d a i l y   s i t r e p s \ M e a s u r e s \ S u m   o f   C C   f l u   b e d s < / K e y > < / a : K e y > < a : V a l u e   i : t y p e = " D i a g r a m D i s p l a y N o d e V i e w S t a t e " > < H e i g h t > 1 5 0 < / H e i g h t > < I s E x p a n d e d > t r u e < / I s E x p a n d e d > < W i d t h > 2 0 0 < / W i d t h > < / a : V a l u e > < / a : K e y V a l u e O f D i a g r a m O b j e c t K e y a n y T y p e z b w N T n L X > < a : K e y V a l u e O f D i a g r a m O b j e c t K e y a n y T y p e z b w N T n L X > < a : K e y > < K e y > T a b l e s \ W i n t e r   d a i l y   s i t r e p s \ S u m   o f   C C   f l u   b e d s \ A d d i t i o n a l   I n f o \ I m p l i c i t   M e a s u r e < / K e y > < / a : K e y > < a : V a l u e   i : t y p e = " D i a g r a m D i s p l a y V i e w S t a t e I D i a g r a m T a g A d d i t i o n a l I n f o " / > < / a : K e y V a l u e O f D i a g r a m O b j e c t K e y a n y T y p e z b w N T n L X > < a : K e y V a l u e O f D i a g r a m O b j e c t K e y a n y T y p e z b w N T n L X > < a : K e y > < K e y > T a b l e s \ W i n t e r   d a i l y   s i t r e p s \ M e a s u r e s \ S u m   o f   P a e d s   R S V   b e d s   c l o s e d < / K e y > < / a : K e y > < a : V a l u e   i : t y p e = " D i a g r a m D i s p l a y N o d e V i e w S t a t e " > < H e i g h t > 1 5 0 < / H e i g h t > < I s E x p a n d e d > t r u e < / I s E x p a n d e d > < W i d t h > 2 0 0 < / W i d t h > < / a : V a l u e > < / a : K e y V a l u e O f D i a g r a m O b j e c t K e y a n y T y p e z b w N T n L X > < a : K e y V a l u e O f D i a g r a m O b j e c t K e y a n y T y p e z b w N T n L X > < a : K e y > < K e y > T a b l e s \ W i n t e r   d a i l y   s i t r e p s \ S u m   o f   P a e d s   R S V   b e d s   c l o s e d \ A d d i t i o n a l   I n f o \ I m p l i c i t   M e a s u r e < / K e y > < / a : K e y > < a : V a l u e   i : t y p e = " D i a g r a m D i s p l a y V i e w S t a t e I D i a g r a m T a g A d d i t i o n a l I n f o " / > < / a : K e y V a l u e O f D i a g r a m O b j e c t K e y a n y T y p e z b w N T n L X > < a : K e y V a l u e O f D i a g r a m O b j e c t K e y a n y T y p e z b w N T n L X > < a : K e y > < K e y > T a b l e s \ W i n t e r   d a i l y   s i t r e p s \ M e a s u r e s \ S u m   o f   P a e d s   R S V   b e d s   c l o s e d   u n o c c < / K e y > < / a : K e y > < a : V a l u e   i : t y p e = " D i a g r a m D i s p l a y N o d e V i e w S t a t e " > < H e i g h t > 1 5 0 < / H e i g h t > < I s E x p a n d e d > t r u e < / I s E x p a n d e d > < W i d t h > 2 0 0 < / W i d t h > < / a : V a l u e > < / a : K e y V a l u e O f D i a g r a m O b j e c t K e y a n y T y p e z b w N T n L X > < a : K e y V a l u e O f D i a g r a m O b j e c t K e y a n y T y p e z b w N T n L X > < a : K e y > < K e y > T a b l e s \ W i n t e r   d a i l y   s i t r e p s \ S u m   o f   P a e d s   R S V   b e d s   c l o s e d   u n o c c \ A d d i t i o n a l   I n f o \ I m p l i c i t   M e a s u r e < / K e y > < / a : K e y > < a : V a l u e   i : t y p e = " D i a g r a m D i s p l a y V i e w S t a t e I D i a g r a m T a g A d d i t i o n a l I n f o " / > < / a : K e y V a l u e O f D i a g r a m O b j e c t K e y a n y T y p e z b w N T n L X > < a : K e y V a l u e O f D i a g r a m O b j e c t K e y a n y T y p e z b w N T n L X > < a : K e y > < K e y > T a b l e s \ W i n t e r   b e d   o c c   o v e r   1 4   d a y s < / K e y > < / a : K e y > < a : V a l u e   i : t y p e = " D i a g r a m D i s p l a y N o d e V i e w S t a t e " > < H e i g h t > 1 5 0 < / H e i g h t > < I s E x p a n d e d > t r u e < / I s E x p a n d e d > < L a y e d O u t > t r u e < / L a y e d O u t > < L e f t > 3 2 9 . 9 0 3 8 1 0 5 6 7 6 6 5 8 < / L e f t > < S c r o l l V e r t i c a l O f f s e t > 5 9 2 . 0 9 9 9 9 9 9 9 9 9 9 9 5 7 < / S c r o l l V e r t i c a l O f f s e t > < T a b I n d e x > 1 < / T a b I n d e x > < W i d t h > 2 0 0 < / W i d t h > < / a : V a l u e > < / a : K e y V a l u e O f D i a g r a m O b j e c t K e y a n y T y p e z b w N T n L X > < a : K e y V a l u e O f D i a g r a m O b j e c t K e y a n y T y p e z b w N T n L X > < a : K e y > < K e y > T a b l e s \ W i n t e r   b e d   o c c   o v e r   1 4   d a y s \ C o l u m n s \ R e g i o n < / K e y > < / a : K e y > < a : V a l u e   i : t y p e = " D i a g r a m D i s p l a y N o d e V i e w S t a t e " > < H e i g h t > 1 5 0 < / H e i g h t > < I s E x p a n d e d > t r u e < / I s E x p a n d e d > < W i d t h > 2 0 0 < / W i d t h > < / a : V a l u e > < / a : K e y V a l u e O f D i a g r a m O b j e c t K e y a n y T y p e z b w N T n L X > < a : K e y V a l u e O f D i a g r a m O b j e c t K e y a n y T y p e z b w N T n L X > < a : K e y > < K e y > T a b l e s \ W i n t e r   b e d   o c c   o v e r   1 4   d a y s \ C o l u m n s \ C o d e < / K e y > < / a : K e y > < a : V a l u e   i : t y p e = " D i a g r a m D i s p l a y N o d e V i e w S t a t e " > < H e i g h t > 1 5 0 < / H e i g h t > < I s E x p a n d e d > t r u e < / I s E x p a n d e d > < W i d t h > 2 0 0 < / W i d t h > < / a : V a l u e > < / a : K e y V a l u e O f D i a g r a m O b j e c t K e y a n y T y p e z b w N T n L X > < a : K e y V a l u e O f D i a g r a m O b j e c t K e y a n y T y p e z b w N T n L X > < a : K e y > < K e y > T a b l e s \ W i n t e r   b e d   o c c   o v e r   1 4   d a y s \ C o l u m n s \ N a m e < / K e y > < / a : K e y > < a : V a l u e   i : t y p e = " D i a g r a m D i s p l a y N o d e V i e w S t a t e " > < H e i g h t > 1 5 0 < / H e i g h t > < I s E x p a n d e d > t r u e < / I s E x p a n d e d > < W i d t h > 2 0 0 < / W i d t h > < / a : V a l u e > < / a : K e y V a l u e O f D i a g r a m O b j e c t K e y a n y T y p e z b w N T n L X > < a : K e y V a l u e O f D i a g r a m O b j e c t K e y a n y T y p e z b w N T n L X > < a : K e y > < K e y > T a b l e s \ W i n t e r   b e d   o c c   o v e r   1 4   d a y s \ C o l u m n s \ Y e a r < / K e y > < / a : K e y > < a : V a l u e   i : t y p e = " D i a g r a m D i s p l a y N o d e V i e w S t a t e " > < H e i g h t > 1 5 0 < / H e i g h t > < I s E x p a n d e d > t r u e < / I s E x p a n d e d > < W i d t h > 2 0 0 < / W i d t h > < / a : V a l u e > < / a : K e y V a l u e O f D i a g r a m O b j e c t K e y a n y T y p e z b w N T n L X > < a : K e y V a l u e O f D i a g r a m O b j e c t K e y a n y T y p e z b w N T n L X > < a : K e y > < K e y > T a b l e s \ W i n t e r   b e d   o c c   o v e r   1 4   d a y s \ C o l u m n s \ D a t e < / K e y > < / a : K e y > < a : V a l u e   i : t y p e = " D i a g r a m D i s p l a y N o d e V i e w S t a t e " > < H e i g h t > 1 5 0 < / H e i g h t > < I s E x p a n d e d > t r u e < / I s E x p a n d e d > < W i d t h > 2 0 0 < / W i d t h > < / a : V a l u e > < / a : K e y V a l u e O f D i a g r a m O b j e c t K e y a n y T y p e z b w N T n L X > < a : K e y V a l u e O f D i a g r a m O b j e c t K e y a n y T y p e z b w N T n L X > < a : K e y > < K e y > T a b l e s \ W i n t e r   b e d   o c c   o v e r   1 4   d a y s \ C o l u m n s \ W e e k < / K e y > < / a : K e y > < a : V a l u e   i : t y p e = " D i a g r a m D i s p l a y N o d e V i e w S t a t e " > < H e i g h t > 1 5 0 < / H e i g h t > < I s E x p a n d e d > t r u e < / I s E x p a n d e d > < W i d t h > 2 0 0 < / W i d t h > < / a : V a l u e > < / a : K e y V a l u e O f D i a g r a m O b j e c t K e y a n y T y p e z b w N T n L X > < a : K e y V a l u e O f D i a g r a m O b j e c t K e y a n y T y p e z b w N T n L X > < a : K e y > < K e y > T a b l e s \ W i n t e r   b e d   o c c   o v e r   1 4   d a y s \ C o l u m n s \ D a y < / K e y > < / a : K e y > < a : V a l u e   i : t y p e = " D i a g r a m D i s p l a y N o d e V i e w S t a t e " > < H e i g h t > 1 5 0 < / H e i g h t > < I s E x p a n d e d > t r u e < / I s E x p a n d e d > < W i d t h > 2 0 0 < / W i d t h > < / a : V a l u e > < / a : K e y V a l u e O f D i a g r a m O b j e c t K e y a n y T y p e z b w N T n L X > < a : K e y V a l u e O f D i a g r a m O b j e c t K e y a n y T y p e z b w N T n L X > < a : K e y > < K e y > T a b l e s \ W i n t e r   b e d   o c c   o v e r   1 4   d a y s \ C o l u m n s \ W e e k e n d < / K e y > < / a : K e y > < a : V a l u e   i : t y p e = " D i a g r a m D i s p l a y N o d e V i e w S t a t e " > < H e i g h t > 1 5 0 < / H e i g h t > < I s E x p a n d e d > t r u e < / I s E x p a n d e d > < W i d t h > 2 0 0 < / W i d t h > < / a : V a l u e > < / a : K e y V a l u e O f D i a g r a m O b j e c t K e y a n y T y p e z b w N T n L X > < a : K e y V a l u e O f D i a g r a m O b j e c t K e y a n y T y p e z b w N T n L X > < a : K e y > < K e y > T a b l e s \ W i n t e r   b e d   o c c   o v e r   1 4   d a y s \ C o l u m n s \ B a n k   h o l i d a y < / K e y > < / a : K e y > < a : V a l u e   i : t y p e = " D i a g r a m D i s p l a y N o d e V i e w S t a t e " > < H e i g h t > 1 5 0 < / H e i g h t > < I s E x p a n d e d > t r u e < / I s E x p a n d e d > < W i d t h > 2 0 0 < / W i d t h > < / a : V a l u e > < / a : K e y V a l u e O f D i a g r a m O b j e c t K e y a n y T y p e z b w N T n L X > < a : K e y V a l u e O f D i a g r a m O b j e c t K e y a n y T y p e z b w N T n L X > < a : K e y > < K e y > T a b l e s \ W i n t e r   b e d   o c c   o v e r   1 4   d a y s \ C o l u m n s \ A   E   c l o s u r e s < / K e y > < / a : K e y > < a : V a l u e   i : t y p e = " D i a g r a m D i s p l a y N o d e V i e w S t a t e " > < H e i g h t > 1 5 0 < / H e i g h t > < I s E x p a n d e d > t r u e < / I s E x p a n d e d > < W i d t h > 2 0 0 < / W i d t h > < / a : V a l u e > < / a : K e y V a l u e O f D i a g r a m O b j e c t K e y a n y T y p e z b w N T n L X > < a : K e y V a l u e O f D i a g r a m O b j e c t K e y a n y T y p e z b w N T n L X > < a : K e y > < K e y > T a b l e s \ W i n t e r   b e d   o c c   o v e r   1 4   d a y s \ C o l u m n s \ A   E   d i v e r t s < / K e y > < / a : K e y > < a : V a l u e   i : t y p e = " D i a g r a m D i s p l a y N o d e V i e w S t a t e " > < H e i g h t > 1 5 0 < / H e i g h t > < I s E x p a n d e d > t r u e < / I s E x p a n d e d > < W i d t h > 2 0 0 < / W i d t h > < / a : V a l u e > < / a : K e y V a l u e O f D i a g r a m O b j e c t K e y a n y T y p e z b w N T n L X > < a : K e y V a l u e O f D i a g r a m O b j e c t K e y a n y T y p e z b w N T n L X > < a : K e y > < K e y > T a b l e s \ W i n t e r   b e d   o c c   o v e r   1 4   d a y s \ C o l u m n s \ G   A   c o r e   b e d s   a v a i l < / K e y > < / a : K e y > < a : V a l u e   i : t y p e = " D i a g r a m D i s p l a y N o d e V i e w S t a t e " > < H e i g h t > 1 5 0 < / H e i g h t > < I s E x p a n d e d > t r u e < / I s E x p a n d e d > < W i d t h > 2 0 0 < / W i d t h > < / a : V a l u e > < / a : K e y V a l u e O f D i a g r a m O b j e c t K e y a n y T y p e z b w N T n L X > < a : K e y V a l u e O f D i a g r a m O b j e c t K e y a n y T y p e z b w N T n L X > < a : K e y > < K e y > T a b l e s \ W i n t e r   b e d   o c c   o v e r   1 4   d a y s \ C o l u m n s \ G   A   e s c a l a t i o n   b e d s   a v a i l < / K e y > < / a : K e y > < a : V a l u e   i : t y p e = " D i a g r a m D i s p l a y N o d e V i e w S t a t e " > < H e i g h t > 1 5 0 < / H e i g h t > < I s E x p a n d e d > t r u e < / I s E x p a n d e d > < W i d t h > 2 0 0 < / W i d t h > < / a : V a l u e > < / a : K e y V a l u e O f D i a g r a m O b j e c t K e y a n y T y p e z b w N T n L X > < a : K e y V a l u e O f D i a g r a m O b j e c t K e y a n y T y p e z b w N T n L X > < a : K e y > < K e y > T a b l e s \ W i n t e r   b e d   o c c   o v e r   1 4   d a y s \ C o l u m n s \ G   A   t o t a l   b e d s   a v a i l < / K e y > < / a : K e y > < a : V a l u e   i : t y p e = " D i a g r a m D i s p l a y N o d e V i e w S t a t e " > < H e i g h t > 1 5 0 < / H e i g h t > < I s E x p a n d e d > t r u e < / I s E x p a n d e d > < W i d t h > 2 0 0 < / W i d t h > < / a : V a l u e > < / a : K e y V a l u e O f D i a g r a m O b j e c t K e y a n y T y p e z b w N T n L X > < a : K e y V a l u e O f D i a g r a m O b j e c t K e y a n y T y p e z b w N T n L X > < a : K e y > < K e y > T a b l e s \ W i n t e r   b e d   o c c   o v e r   1 4   d a y s \ C o l u m n s \ G   A   t o t a l   b e d s   o c c u p i e d < / K e y > < / a : K e y > < a : V a l u e   i : t y p e = " D i a g r a m D i s p l a y N o d e V i e w S t a t e " > < H e i g h t > 1 5 0 < / H e i g h t > < I s E x p a n d e d > t r u e < / I s E x p a n d e d > < W i d t h > 2 0 0 < / W i d t h > < / a : V a l u e > < / a : K e y V a l u e O f D i a g r a m O b j e c t K e y a n y T y p e z b w N T n L X > < a : K e y V a l u e O f D i a g r a m O b j e c t K e y a n y T y p e z b w N T n L X > < a : K e y > < K e y > T a b l e s \ W i n t e r   b e d   o c c   o v e r   1 4   d a y s \ C o l u m n s \ B e d s   o c c   o v e r   7   d a y s < / K e y > < / a : K e y > < a : V a l u e   i : t y p e = " D i a g r a m D i s p l a y N o d e V i e w S t a t e " > < H e i g h t > 1 5 0 < / H e i g h t > < I s E x p a n d e d > t r u e < / I s E x p a n d e d > < W i d t h > 2 0 0 < / W i d t h > < / a : V a l u e > < / a : K e y V a l u e O f D i a g r a m O b j e c t K e y a n y T y p e z b w N T n L X > < a : K e y V a l u e O f D i a g r a m O b j e c t K e y a n y T y p e z b w N T n L X > < a : K e y > < K e y > T a b l e s \ W i n t e r   b e d   o c c   o v e r   1 4   d a y s \ C o l u m n s \ B e d s   o c c   o v e r   2 1   d a y s < / K e y > < / a : K e y > < a : V a l u e   i : t y p e = " D i a g r a m D i s p l a y N o d e V i e w S t a t e " > < H e i g h t > 1 5 0 < / H e i g h t > < I s E x p a n d e d > t r u e < / I s E x p a n d e d > < W i d t h > 2 0 0 < / W i d t h > < / a : V a l u e > < / a : K e y V a l u e O f D i a g r a m O b j e c t K e y a n y T y p e z b w N T n L X > < a : K e y V a l u e O f D i a g r a m O b j e c t K e y a n y T y p e z b w N T n L X > < a : K e y > < K e y > T a b l e s \ W i n t e r   b e d   o c c   o v e r   1 4   d a y s \ C o l u m n s \ B e d s   c l o s e d   n o r o v i r u s < / K e y > < / a : K e y > < a : V a l u e   i : t y p e = " D i a g r a m D i s p l a y N o d e V i e w S t a t e " > < H e i g h t > 1 5 0 < / H e i g h t > < I s E x p a n d e d > t r u e < / I s E x p a n d e d > < W i d t h > 2 0 0 < / W i d t h > < / a : V a l u e > < / a : K e y V a l u e O f D i a g r a m O b j e c t K e y a n y T y p e z b w N T n L X > < a : K e y V a l u e O f D i a g r a m O b j e c t K e y a n y T y p e z b w N T n L X > < a : K e y > < K e y > T a b l e s \ W i n t e r   b e d   o c c   o v e r   1 4   d a y s \ C o l u m n s \ B e d s   c l o s e d   n o r o v i u s   u n o c c < / K e y > < / a : K e y > < a : V a l u e   i : t y p e = " D i a g r a m D i s p l a y N o d e V i e w S t a t e " > < H e i g h t > 1 5 0 < / H e i g h t > < I s E x p a n d e d > t r u e < / I s E x p a n d e d > < W i d t h > 2 0 0 < / W i d t h > < / a : V a l u e > < / a : K e y V a l u e O f D i a g r a m O b j e c t K e y a n y T y p e z b w N T n L X > < a : K e y V a l u e O f D i a g r a m O b j e c t K e y a n y T y p e z b w N T n L X > < a : K e y > < K e y > T a b l e s \ W i n t e r   b e d   o c c   o v e r   1 4   d a y s \ C o l u m n s \ A d u l t   C C   b e d s   a v a i l < / K e y > < / a : K e y > < a : V a l u e   i : t y p e = " D i a g r a m D i s p l a y N o d e V i e w S t a t e " > < H e i g h t > 1 5 0 < / H e i g h t > < I s E x p a n d e d > t r u e < / I s E x p a n d e d > < W i d t h > 2 0 0 < / W i d t h > < / a : V a l u e > < / a : K e y V a l u e O f D i a g r a m O b j e c t K e y a n y T y p e z b w N T n L X > < a : K e y V a l u e O f D i a g r a m O b j e c t K e y a n y T y p e z b w N T n L X > < a : K e y > < K e y > T a b l e s \ W i n t e r   b e d   o c c   o v e r   1 4   d a y s \ C o l u m n s \ A d u l t   C C   b e d s   o c c < / K e y > < / a : K e y > < a : V a l u e   i : t y p e = " D i a g r a m D i s p l a y N o d e V i e w S t a t e " > < H e i g h t > 1 5 0 < / H e i g h t > < I s E x p a n d e d > t r u e < / I s E x p a n d e d > < W i d t h > 2 0 0 < / W i d t h > < / a : V a l u e > < / a : K e y V a l u e O f D i a g r a m O b j e c t K e y a n y T y p e z b w N T n L X > < a : K e y V a l u e O f D i a g r a m O b j e c t K e y a n y T y p e z b w N T n L X > < a : K e y > < K e y > T a b l e s \ W i n t e r   b e d   o c c   o v e r   1 4   d a y s \ C o l u m n s \ P a e d   I n t   C a r e   A v a i l < / K e y > < / a : K e y > < a : V a l u e   i : t y p e = " D i a g r a m D i s p l a y N o d e V i e w S t a t e " > < H e i g h t > 1 5 0 < / H e i g h t > < I s E x p a n d e d > t r u e < / I s E x p a n d e d > < W i d t h > 2 0 0 < / W i d t h > < / a : V a l u e > < / a : K e y V a l u e O f D i a g r a m O b j e c t K e y a n y T y p e z b w N T n L X > < a : K e y V a l u e O f D i a g r a m O b j e c t K e y a n y T y p e z b w N T n L X > < a : K e y > < K e y > T a b l e s \ W i n t e r   b e d   o c c   o v e r   1 4   d a y s \ C o l u m n s \ P a e d   I n t   C a r e   O c c < / K e y > < / a : K e y > < a : V a l u e   i : t y p e = " D i a g r a m D i s p l a y N o d e V i e w S t a t e " > < H e i g h t > 1 5 0 < / H e i g h t > < I s E x p a n d e d > t r u e < / I s E x p a n d e d > < W i d t h > 2 0 0 < / W i d t h > < / a : V a l u e > < / a : K e y V a l u e O f D i a g r a m O b j e c t K e y a n y T y p e z b w N T n L X > < a : K e y V a l u e O f D i a g r a m O b j e c t K e y a n y T y p e z b w N T n L X > < a : K e y > < K e y > T a b l e s \ W i n t e r   b e d   o c c   o v e r   1 4   d a y s \ C o l u m n s \ N e o   I n t   C a r e   A v a i l < / K e y > < / a : K e y > < a : V a l u e   i : t y p e = " D i a g r a m D i s p l a y N o d e V i e w S t a t e " > < H e i g h t > 1 5 0 < / H e i g h t > < I s E x p a n d e d > t r u e < / I s E x p a n d e d > < W i d t h > 2 0 0 < / W i d t h > < / a : V a l u e > < / a : K e y V a l u e O f D i a g r a m O b j e c t K e y a n y T y p e z b w N T n L X > < a : K e y V a l u e O f D i a g r a m O b j e c t K e y a n y T y p e z b w N T n L X > < a : K e y > < K e y > T a b l e s \ W i n t e r   b e d   o c c   o v e r   1 4   d a y s \ C o l u m n s \ N e o   I n t   C a r e   o c c < / K e y > < / a : K e y > < a : V a l u e   i : t y p e = " D i a g r a m D i s p l a y N o d e V i e w S t a t e " > < H e i g h t > 1 5 0 < / H e i g h t > < I s E x p a n d e d > t r u e < / I s E x p a n d e d > < W i d t h > 2 0 0 < / W i d t h > < / a : V a l u e > < / a : K e y V a l u e O f D i a g r a m O b j e c t K e y a n y T y p e z b w N T n L X > < a : K e y V a l u e O f D i a g r a m O b j e c t K e y a n y T y p e z b w N T n L X > < a : K e y > < K e y > T a b l e s \ W i n t e r   b e d   o c c   o v e r   1 4   d a y s \ C o l u m n s \ A m b   a r r i v a l s < / K e y > < / a : K e y > < a : V a l u e   i : t y p e = " D i a g r a m D i s p l a y N o d e V i e w S t a t e " > < H e i g h t > 1 5 0 < / H e i g h t > < I s E x p a n d e d > t r u e < / I s E x p a n d e d > < W i d t h > 2 0 0 < / W i d t h > < / a : V a l u e > < / a : K e y V a l u e O f D i a g r a m O b j e c t K e y a n y T y p e z b w N T n L X > < a : K e y V a l u e O f D i a g r a m O b j e c t K e y a n y T y p e z b w N T n L X > < a : K e y > < K e y > T a b l e s \ W i n t e r   b e d   o c c   o v e r   1 4   d a y s \ C o l u m n s \ A m b   d e l a y s   3 0 - 6 0   m i n s < / K e y > < / a : K e y > < a : V a l u e   i : t y p e = " D i a g r a m D i s p l a y N o d e V i e w S t a t e " > < H e i g h t > 1 5 0 < / H e i g h t > < I s E x p a n d e d > t r u e < / I s E x p a n d e d > < W i d t h > 2 0 0 < / W i d t h > < / a : V a l u e > < / a : K e y V a l u e O f D i a g r a m O b j e c t K e y a n y T y p e z b w N T n L X > < a : K e y V a l u e O f D i a g r a m O b j e c t K e y a n y T y p e z b w N T n L X > < a : K e y > < K e y > T a b l e s \ W i n t e r   b e d   o c c   o v e r   1 4   d a y s \ C o l u m n s \ A m b   d e l a y s   o v e r   6 0   m i n s < / K e y > < / a : K e y > < a : V a l u e   i : t y p e = " D i a g r a m D i s p l a y N o d e V i e w S t a t e " > < H e i g h t > 1 5 0 < / H e i g h t > < I s E x p a n d e d > t r u e < / I s E x p a n d e d > < W i d t h > 2 0 0 < / W i d t h > < / a : V a l u e > < / a : K e y V a l u e O f D i a g r a m O b j e c t K e y a n y T y p e z b w N T n L X > < a : K e y V a l u e O f D i a g r a m O b j e c t K e y a n y T y p e z b w N T n L X > < a : K e y > < K e y > T a b l e s \ W i n t e r   b e d   o c c   o v e r   1 4   d a y s \ C o l u m n s \ B e d s   o c c   o v e r   1 4   d a y s < / K e y > < / a : K e y > < a : V a l u e   i : t y p e = " D i a g r a m D i s p l a y N o d e V i e w S t a t e " > < H e i g h t > 1 5 0 < / H e i g h t > < I s E x p a n d e d > t r u e < / I s E x p a n d e d > < W i d t h > 2 0 0 < / W i d t h > < / a : V a l u e > < / a : K e y V a l u e O f D i a g r a m O b j e c t K e y a n y T y p e z b w N T n L X > < a : K e y V a l u e O f D i a g r a m O b j e c t K e y a n y T y p e z b w N T n L X > < a : K e y > < K e y > T a b l e s \ W i n t e r   b e d   o c c   o v e r   1 4   d a y s \ M e a s u r e s \ S u m   o f   B e d s   o c c   o v e r   1 4   d a y s < / K e y > < / a : K e y > < a : V a l u e   i : t y p e = " D i a g r a m D i s p l a y N o d e V i e w S t a t e " > < H e i g h t > 1 5 0 < / H e i g h t > < I s E x p a n d e d > t r u e < / I s E x p a n d e d > < W i d t h > 2 0 0 < / W i d t h > < / a : V a l u e > < / a : K e y V a l u e O f D i a g r a m O b j e c t K e y a n y T y p e z b w N T n L X > < a : K e y V a l u e O f D i a g r a m O b j e c t K e y a n y T y p e z b w N T n L X > < a : K e y > < K e y > T a b l e s \ W i n t e r   b e d   o c c   o v e r   1 4   d a y s \ S u m   o f   B e d s   o c c   o v e r   1 4   d a y s \ A d d i t i o n a l   I n f o \ I m p l i c i t   M e a s u r e < / K e y > < / a : K e y > < a : V a l u e   i : t y p e = " D i a g r a m D i s p l a y V i e w S t a t e I D i a g r a m T a g A d d i t i o n a l I n f o " / > < / a : K e y V a l u e O f D i a g r a m O b j e c t K e y a n y T y p e z b w N T n L X > < a : K e y V a l u e O f D i a g r a m O b j e c t K e y a n y T y p e z b w N T n L X > < a : K e y > < K e y > T a b l e s \ C O V I D - 1 9   d a i l y   d i s c h a r g e   s i t r e p s < / K e y > < / a : K e y > < a : V a l u e   i : t y p e = " D i a g r a m D i s p l a y N o d e V i e w S t a t e " > < H e i g h t > 1 5 0 < / H e i g h t > < I s E x p a n d e d > t r u e < / I s E x p a n d e d > < L a y e d O u t > t r u e < / L a y e d O u t > < L e f t > 5 6 9 . 9 0 3 8 1 0 5 6 7 6 6 5 8 < / L e f t > < T a b I n d e x > 2 < / T a b I n d e x > < W i d t h > 2 0 0 < / W i d t h > < / a : V a l u e > < / a : K e y V a l u e O f D i a g r a m O b j e c t K e y a n y T y p e z b w N T n L X > < a : K e y V a l u e O f D i a g r a m O b j e c t K e y a n y T y p e z b w N T n L X > < a : K e y > < K e y > T a b l e s \ C O V I D - 1 9   d a i l y   d i s c h a r g e   s i t r e p s \ C o l u m n s \ I D < / K e y > < / a : K e y > < a : V a l u e   i : t y p e = " D i a g r a m D i s p l a y N o d e V i e w S t a t e " > < H e i g h t > 1 5 0 < / H e i g h t > < I s E x p a n d e d > t r u e < / I s E x p a n d e d > < W i d t h > 2 0 0 < / W i d t h > < / a : V a l u e > < / a : K e y V a l u e O f D i a g r a m O b j e c t K e y a n y T y p e z b w N T n L X > < a : K e y V a l u e O f D i a g r a m O b j e c t K e y a n y T y p e z b w N T n L X > < a : K e y > < K e y > T a b l e s \ C O V I D - 1 9   d a i l y   d i s c h a r g e   s i t r e p s \ C o l u m n s \ c r i _ i d < / K e y > < / a : K e y > < a : V a l u e   i : t y p e = " D i a g r a m D i s p l a y N o d e V i e w S t a t e " > < H e i g h t > 1 5 0 < / H e i g h t > < I s E x p a n d e d > t r u e < / I s E x p a n d e d > < W i d t h > 2 0 0 < / W i d t h > < / a : V a l u e > < / a : K e y V a l u e O f D i a g r a m O b j e c t K e y a n y T y p e z b w N T n L X > < a : K e y V a l u e O f D i a g r a m O b j e c t K e y a n y T y p e z b w N T n L X > < a : K e y > < K e y > T a b l e s \ C O V I D - 1 9   d a i l y   d i s c h a r g e   s i t r e p s \ C o l u m n s \ d r _ i d < / K e y > < / a : K e y > < a : V a l u e   i : t y p e = " D i a g r a m D i s p l a y N o d e V i e w S t a t e " > < H e i g h t > 1 5 0 < / H e i g h t > < I s E x p a n d e d > t r u e < / I s E x p a n d e d > < W i d t h > 2 0 0 < / W i d t h > < / a : V a l u e > < / a : K e y V a l u e O f D i a g r a m O b j e c t K e y a n y T y p e z b w N T n L X > < a : K e y V a l u e O f D i a g r a m O b j e c t K e y a n y T y p e z b w N T n L X > < a : K e y > < K e y > T a b l e s \ C O V I D - 1 9   d a i l y   d i s c h a r g e   s i t r e p s \ C o l u m n s \ o r g _ i d < / K e y > < / a : K e y > < a : V a l u e   i : t y p e = " D i a g r a m D i s p l a y N o d e V i e w S t a t e " > < H e i g h t > 1 5 0 < / H e i g h t > < I s E x p a n d e d > t r u e < / I s E x p a n d e d > < W i d t h > 2 0 0 < / W i d t h > < / a : V a l u e > < / a : K e y V a l u e O f D i a g r a m O b j e c t K e y a n y T y p e z b w N T n L X > < a : K e y V a l u e O f D i a g r a m O b j e c t K e y a n y T y p e z b w N T n L X > < a : K e y > < K e y > T a b l e s \ C O V I D - 1 9   d a i l y   d i s c h a r g e   s i t r e p s \ C o l u m n s \ c r i _ d a t a p e r i o d s t a r t < / K e y > < / a : K e y > < a : V a l u e   i : t y p e = " D i a g r a m D i s p l a y N o d e V i e w S t a t e " > < H e i g h t > 1 5 0 < / H e i g h t > < I s E x p a n d e d > t r u e < / I s E x p a n d e d > < W i d t h > 2 0 0 < / W i d t h > < / a : V a l u e > < / a : K e y V a l u e O f D i a g r a m O b j e c t K e y a n y T y p e z b w N T n L X > < a : K e y V a l u e O f D i a g r a m O b j e c t K e y a n y T y p e z b w N T n L X > < a : K e y > < K e y > T a b l e s \ C O V I D - 1 9   d a i l y   d i s c h a r g e   s i t r e p s \ C o l u m n s \ R e g i o n < / K e y > < / a : K e y > < a : V a l u e   i : t y p e = " D i a g r a m D i s p l a y N o d e V i e w S t a t e " > < H e i g h t > 1 5 0 < / H e i g h t > < I s E x p a n d e d > t r u e < / I s E x p a n d e d > < W i d t h > 2 0 0 < / W i d t h > < / a : V a l u e > < / a : K e y V a l u e O f D i a g r a m O b j e c t K e y a n y T y p e z b w N T n L X > < a : K e y V a l u e O f D i a g r a m O b j e c t K e y a n y T y p e z b w N T n L X > < a : K e y > < K e y > T a b l e s \ C O V I D - 1 9   d a i l y   d i s c h a r g e   s i t r e p s \ C o l u m n s \ C o d e < / K e y > < / a : K e y > < a : V a l u e   i : t y p e = " D i a g r a m D i s p l a y N o d e V i e w S t a t e " > < H e i g h t > 1 5 0 < / H e i g h t > < I s E x p a n d e d > t r u e < / I s E x p a n d e d > < W i d t h > 2 0 0 < / W i d t h > < / a : V a l u e > < / a : K e y V a l u e O f D i a g r a m O b j e c t K e y a n y T y p e z b w N T n L X > < a : K e y V a l u e O f D i a g r a m O b j e c t K e y a n y T y p e z b w N T n L X > < a : K e y > < K e y > T a b l e s \ C O V I D - 1 9   d a i l y   d i s c h a r g e   s i t r e p s \ C o l u m n s \ N a m e < / K e y > < / a : K e y > < a : V a l u e   i : t y p e = " D i a g r a m D i s p l a y N o d e V i e w S t a t e " > < H e i g h t > 1 5 0 < / H e i g h t > < I s E x p a n d e d > t r u e < / I s E x p a n d e d > < W i d t h > 2 0 0 < / W i d t h > < / a : V a l u e > < / a : K e y V a l u e O f D i a g r a m O b j e c t K e y a n y T y p e z b w N T n L X > < a : K e y V a l u e O f D i a g r a m O b j e c t K e y a n y T y p e z b w N T n L X > < a : K e y > < K e y > T a b l e s \ C O V I D - 1 9   d a i l y   d i s c h a r g e   s i t r e p s \ C o l u m n s \ Y e a r < / K e y > < / a : K e y > < a : V a l u e   i : t y p e = " D i a g r a m D i s p l a y N o d e V i e w S t a t e " > < H e i g h t > 1 5 0 < / H e i g h t > < I s E x p a n d e d > t r u e < / I s E x p a n d e d > < W i d t h > 2 0 0 < / W i d t h > < / a : V a l u e > < / a : K e y V a l u e O f D i a g r a m O b j e c t K e y a n y T y p e z b w N T n L X > < a : K e y V a l u e O f D i a g r a m O b j e c t K e y a n y T y p e z b w N T n L X > < a : K e y > < K e y > T a b l e s \ C O V I D - 1 9   d a i l y   d i s c h a r g e   s i t r e p s \ C o l u m n s \ D a t e < / K e y > < / a : K e y > < a : V a l u e   i : t y p e = " D i a g r a m D i s p l a y N o d e V i e w S t a t e " > < H e i g h t > 1 5 0 < / H e i g h t > < I s E x p a n d e d > t r u e < / I s E x p a n d e d > < W i d t h > 2 0 0 < / W i d t h > < / a : V a l u e > < / a : K e y V a l u e O f D i a g r a m O b j e c t K e y a n y T y p e z b w N T n L X > < a : K e y V a l u e O f D i a g r a m O b j e c t K e y a n y T y p e z b w N T n L X > < a : K e y > < K e y > T a b l e s \ C O V I D - 1 9   d a i l y   d i s c h a r g e   s i t r e p s \ C o l u m n s \ W e e k < / K e y > < / a : K e y > < a : V a l u e   i : t y p e = " D i a g r a m D i s p l a y N o d e V i e w S t a t e " > < H e i g h t > 1 5 0 < / H e i g h t > < I s E x p a n d e d > t r u e < / I s E x p a n d e d > < W i d t h > 2 0 0 < / W i d t h > < / a : V a l u e > < / a : K e y V a l u e O f D i a g r a m O b j e c t K e y a n y T y p e z b w N T n L X > < a : K e y V a l u e O f D i a g r a m O b j e c t K e y a n y T y p e z b w N T n L X > < a : K e y > < K e y > T a b l e s \ C O V I D - 1 9   d a i l y   d i s c h a r g e   s i t r e p s \ C o l u m n s \ D a y < / K e y > < / a : K e y > < a : V a l u e   i : t y p e = " D i a g r a m D i s p l a y N o d e V i e w S t a t e " > < H e i g h t > 1 5 0 < / H e i g h t > < I s E x p a n d e d > t r u e < / I s E x p a n d e d > < W i d t h > 2 0 0 < / W i d t h > < / a : V a l u e > < / a : K e y V a l u e O f D i a g r a m O b j e c t K e y a n y T y p e z b w N T n L X > < a : K e y V a l u e O f D i a g r a m O b j e c t K e y a n y T y p e z b w N T n L X > < a : K e y > < K e y > T a b l e s \ C O V I D - 1 9   d a i l y   d i s c h a r g e   s i t r e p s \ C o l u m n s \ P a t i e n t s   w h o   n o   l o n g e r   m e e t   t h e   c r i t e r i a   t o   r e s i d e < / K e y > < / a : K e y > < a : V a l u e   i : t y p e = " D i a g r a m D i s p l a y N o d e V i e w S t a t e " > < H e i g h t > 1 5 0 < / H e i g h t > < I s E x p a n d e d > t r u e < / I s E x p a n d e d > < W i d t h > 2 0 0 < / W i d t h > < / a : V a l u e > < / a : K e y V a l u e O f D i a g r a m O b j e c t K e y a n y T y p e z b w N T n L X > < a : K e y V a l u e O f D i a g r a m O b j e c t K e y a n y T y p e z b w N T n L X > < a : K e y > < K e y > T a b l e s \ C O V I D - 1 9   d a i l y   d i s c h a r g e   s i t r e p s \ C o l u m n s \ P a t i e n t s   d i s c h a r g e d < / K e y > < / a : K e y > < a : V a l u e   i : t y p e = " D i a g r a m D i s p l a y N o d e V i e w S t a t e " > < H e i g h t > 1 5 0 < / H e i g h t > < I s E x p a n d e d > t r u e < / I s E x p a n d e d > < W i d t h > 2 0 0 < / W i d t h > < / a : V a l u e > < / a : K e y V a l u e O f D i a g r a m O b j e c t K e y a n y T y p e z b w N T n L X > < a : K e y V a l u e O f D i a g r a m O b j e c t K e y a n y T y p e z b w N T n L X > < a : K e y > < K e y > T a b l e s \ C O V I D - 1 9   d a i l y   d i s c h a r g e   s i t r e p s \ C o l u m n s \ P a t i e n t s   r e m a i n i n g   i n   h o s p i t a l   w h o   n o   l o n g e r   m e e t   t h e   c r i t e r i a   t o   r e s i d e < / K e y > < / a : K e y > < a : V a l u e   i : t y p e = " D i a g r a m D i s p l a y N o d e V i e w S t a t e " > < H e i g h t > 1 5 0 < / H e i g h t > < I s E x p a n d e d > t r u e < / I s E x p a n d e d > < W i d t h > 2 0 0 < / W i d t h > < / a : V a l u e > < / a : K e y V a l u e O f D i a g r a m O b j e c t K e y a n y T y p e z b w N T n L X > < a : K e y V a l u e O f D i a g r a m O b j e c t K e y a n y T y p e z b w N T n L X > < a : K e y > < K e y > T a b l e s \ C O V I D - 1 9   d a i l y   d i s c h a r g e   s i t r e p s \ M e a s u r e s \ C o u n t   o f   P a t i e n t s   w h o   n o   l o n g e r   m e e t   t h e   c r i t e r i a   t o   r e s i d e < / K e y > < / a : K e y > < a : V a l u e   i : t y p e = " D i a g r a m D i s p l a y N o d e V i e w S t a t e " > < H e i g h t > 1 5 0 < / H e i g h t > < I s E x p a n d e d > t r u e < / I s E x p a n d e d > < W i d t h > 2 0 0 < / W i d t h > < / a : V a l u e > < / a : K e y V a l u e O f D i a g r a m O b j e c t K e y a n y T y p e z b w N T n L X > < a : K e y V a l u e O f D i a g r a m O b j e c t K e y a n y T y p e z b w N T n L X > < a : K e y > < K e y > T a b l e s \ C O V I D - 1 9   d a i l y   d i s c h a r g e   s i t r e p s \ C o u n t   o f   P a t i e n t s   w h o   n o   l o n g e r   m e e t   t h e   c r i t e r i a   t o   r e s i d e \ A d d i t i o n a l   I n f o \ I m p l i c i t   M e a s u r e < / K e y > < / a : K e y > < a : V a l u e   i : t y p e = " D i a g r a m D i s p l a y V i e w S t a t e I D i a g r a m T a g A d d i t i o n a l I n f o " / > < / a : K e y V a l u e O f D i a g r a m O b j e c t K e y a n y T y p e z b w N T n L X > < / V i e w S t a t e s > < / D i a g r a m M a n a g e r . S e r i a l i z a b l e D i a g r a m > < D i a g r a m M a n a g e r . S e r i a l i z a b l e D i a g r a m > < A d a p t e r   i : t y p e = " M e a s u r e D i a g r a m S a n d b o x A d a p t e r " > < T a b l e N a m e > W i n t e r   d a i l y   s i t r e p s 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 W i n t e r   d a i l y   s i t r e p s 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 A E   d i v e r t s < / K e y > < / D i a g r a m O b j e c t K e y > < D i a g r a m O b j e c t K e y > < K e y > M e a s u r e s \ S u m   o f   A E   d i v e r t s \ T a g I n f o \ F o r m u l a < / K e y > < / D i a g r a m O b j e c t K e y > < D i a g r a m O b j e c t K e y > < K e y > M e a s u r e s \ S u m   o f   A E   d i v e r t s \ T a g I n f o \ V a l u e < / K e y > < / D i a g r a m O b j e c t K e y > < D i a g r a m O b j e c t K e y > < K e y > M e a s u r e s \ S u m   o f   G A   t o t a l   b e d s   o c c u p i e d < / K e y > < / D i a g r a m O b j e c t K e y > < D i a g r a m O b j e c t K e y > < K e y > M e a s u r e s \ S u m   o f   G A   t o t a l   b e d s   o c c u p i e d \ T a g I n f o \ F o r m u l a < / K e y > < / D i a g r a m O b j e c t K e y > < D i a g r a m O b j e c t K e y > < K e y > M e a s u r e s \ S u m   o f   G A   t o t a l   b e d s   o c c u p i e d \ T a g I n f o \ V a l u e < / K e y > < / D i a g r a m O b j e c t K e y > < D i a g r a m O b j e c t K e y > < K e y > M e a s u r e s \ A v e r a g e   o f   G A   t o t a l   b e d s   o c c u p i e d < / K e y > < / D i a g r a m O b j e c t K e y > < D i a g r a m O b j e c t K e y > < K e y > M e a s u r e s \ A v e r a g e   o f   G A   t o t a l   b e d s   o c c u p i e d \ T a g I n f o \ F o r m u l a < / K e y > < / D i a g r a m O b j e c t K e y > < D i a g r a m O b j e c t K e y > < K e y > M e a s u r e s \ A v e r a g e   o f   G A   t o t a l   b e d s   o c c u p i e d \ T a g I n f o \ V a l u e < / K e y > < / D i a g r a m O b j e c t K e y > < D i a g r a m O b j e c t K e y > < K e y > M e a s u r e s \ S u m   o f   G A   t o t a l   b e d s   a v a i l < / K e y > < / D i a g r a m O b j e c t K e y > < D i a g r a m O b j e c t K e y > < K e y > M e a s u r e s \ S u m   o f   G A   t o t a l   b e d s   a v a i l \ T a g I n f o \ F o r m u l a < / K e y > < / D i a g r a m O b j e c t K e y > < D i a g r a m O b j e c t K e y > < K e y > M e a s u r e s \ S u m   o f   G A   t o t a l   b e d s   a v a i l \ T a g I n f o \ V a l u e < / K e y > < / D i a g r a m O b j e c t K e y > < D i a g r a m O b j e c t K e y > < K e y > M e a s u r e s \ S u m   o f   B e d s   o c c   o v e r   7   d a y s < / K e y > < / D i a g r a m O b j e c t K e y > < D i a g r a m O b j e c t K e y > < K e y > M e a s u r e s \ S u m   o f   B e d s   o c c   o v e r   7   d a y s \ T a g I n f o \ F o r m u l a < / K e y > < / D i a g r a m O b j e c t K e y > < D i a g r a m O b j e c t K e y > < K e y > M e a s u r e s \ S u m   o f   B e d s   o c c   o v e r   7   d a y s \ T a g I n f o \ V a l u e < / K e y > < / D i a g r a m O b j e c t K e y > < D i a g r a m O b j e c t K e y > < K e y > M e a s u r e s \ S u m   o f   B e d s   o c c   o v e r   2 1   d a y s < / K e y > < / D i a g r a m O b j e c t K e y > < D i a g r a m O b j e c t K e y > < K e y > M e a s u r e s \ S u m   o f   B e d s   o c c   o v e r   2 1   d a y s \ T a g I n f o \ F o r m u l a < / K e y > < / D i a g r a m O b j e c t K e y > < D i a g r a m O b j e c t K e y > < K e y > M e a s u r e s \ S u m   o f   B e d s   o c c   o v e r   2 1   d a y s \ T a g I n f o \ V a l u e < / K e y > < / D i a g r a m O b j e c t K e y > < D i a g r a m O b j e c t K e y > < K e y > M e a s u r e s \ A v e r a g e   o f   B e d s   o c c   o v e r   2 1   d a y s < / K e y > < / D i a g r a m O b j e c t K e y > < D i a g r a m O b j e c t K e y > < K e y > M e a s u r e s \ A v e r a g e   o f   B e d s   o c c   o v e r   2 1   d a y s \ T a g I n f o \ F o r m u l a < / K e y > < / D i a g r a m O b j e c t K e y > < D i a g r a m O b j e c t K e y > < K e y > M e a s u r e s \ A v e r a g e   o f   B e d s   o c c   o v e r   2 1   d a y s \ T a g I n f o \ V a l u e < / K e y > < / D i a g r a m O b j e c t K e y > < D i a g r a m O b j e c t K e y > < K e y > M e a s u r e s \ S u m   o f   B e d s   c l o s e d   n o r o v i r u s < / K e y > < / D i a g r a m O b j e c t K e y > < D i a g r a m O b j e c t K e y > < K e y > M e a s u r e s \ S u m   o f   B e d s   c l o s e d   n o r o v i r u s \ T a g I n f o \ F o r m u l a < / K e y > < / D i a g r a m O b j e c t K e y > < D i a g r a m O b j e c t K e y > < K e y > M e a s u r e s \ S u m   o f   B e d s   c l o s e d   n o r o v i r u s \ T a g I n f o \ V a l u e < / K e y > < / D i a g r a m O b j e c t K e y > < D i a g r a m O b j e c t K e y > < K e y > M e a s u r e s \ A v e r a g e   o f   B e d s   c l o s e d   n o r o v i r u s < / K e y > < / D i a g r a m O b j e c t K e y > < D i a g r a m O b j e c t K e y > < K e y > M e a s u r e s \ A v e r a g e   o f   B e d s   c l o s e d   n o r o v i r u s \ T a g I n f o \ F o r m u l a < / K e y > < / D i a g r a m O b j e c t K e y > < D i a g r a m O b j e c t K e y > < K e y > M e a s u r e s \ A v e r a g e   o f   B e d s   c l o s e d   n o r o v i r u s \ T a g I n f o \ V a l u e < / K e y > < / D i a g r a m O b j e c t K e y > < D i a g r a m O b j e c t K e y > < K e y > M e a s u r e s \ S u m   o f   B e d s   c l o s e d   n o r o v i u s   u n o c c < / K e y > < / D i a g r a m O b j e c t K e y > < D i a g r a m O b j e c t K e y > < K e y > M e a s u r e s \ S u m   o f   B e d s   c l o s e d   n o r o v i u s   u n o c c \ T a g I n f o \ F o r m u l a < / K e y > < / D i a g r a m O b j e c t K e y > < D i a g r a m O b j e c t K e y > < K e y > M e a s u r e s \ S u m   o f   B e d s   c l o s e d   n o r o v i u s   u n o c c \ T a g I n f o \ V a l u e < / K e y > < / D i a g r a m O b j e c t K e y > < D i a g r a m O b j e c t K e y > < K e y > M e a s u r e s \ S u m   o f   A m b   a r r i v a l s < / K e y > < / D i a g r a m O b j e c t K e y > < D i a g r a m O b j e c t K e y > < K e y > M e a s u r e s \ S u m   o f   A m b   a r r i v a l s \ T a g I n f o \ F o r m u l a < / K e y > < / D i a g r a m O b j e c t K e y > < D i a g r a m O b j e c t K e y > < K e y > M e a s u r e s \ S u m   o f   A m b   a r r i v a l s \ T a g I n f o \ V a l u e < / K e y > < / D i a g r a m O b j e c t K e y > < D i a g r a m O b j e c t K e y > < K e y > M e a s u r e s \ S u m   o f   A m b   d e l a y s   3 0 - 6 0   m i n s < / K e y > < / D i a g r a m O b j e c t K e y > < D i a g r a m O b j e c t K e y > < K e y > M e a s u r e s \ S u m   o f   A m b   d e l a y s   3 0 - 6 0   m i n s \ T a g I n f o \ F o r m u l a < / K e y > < / D i a g r a m O b j e c t K e y > < D i a g r a m O b j e c t K e y > < K e y > M e a s u r e s \ S u m   o f   A m b   d e l a y s   3 0 - 6 0   m i n s \ T a g I n f o \ V a l u e < / K e y > < / D i a g r a m O b j e c t K e y > < D i a g r a m O b j e c t K e y > < K e y > M e a s u r e s \ S u m   o f   A m b   d e l a y s   o v e r   6 0   m i n s < / K e y > < / D i a g r a m O b j e c t K e y > < D i a g r a m O b j e c t K e y > < K e y > M e a s u r e s \ S u m   o f   A m b   d e l a y s   o v e r   6 0   m i n s \ T a g I n f o \ F o r m u l a < / K e y > < / D i a g r a m O b j e c t K e y > < D i a g r a m O b j e c t K e y > < K e y > M e a s u r e s \ S u m   o f   A m b   d e l a y s   o v e r   6 0   m i n s \ T a g I n f o \ V a l u e < / K e y > < / D i a g r a m O b j e c t K e y > < D i a g r a m O b j e c t K e y > < K e y > M e a s u r e s \ S u m   o f   A d u l t   C C   b e d s   a v a i l < / K e y > < / D i a g r a m O b j e c t K e y > < D i a g r a m O b j e c t K e y > < K e y > M e a s u r e s \ S u m   o f   A d u l t   C C   b e d s   a v a i l \ T a g I n f o \ F o r m u l a < / K e y > < / D i a g r a m O b j e c t K e y > < D i a g r a m O b j e c t K e y > < K e y > M e a s u r e s \ S u m   o f   A d u l t   C C   b e d s   a v a i l \ T a g I n f o \ V a l u e < / K e y > < / D i a g r a m O b j e c t K e y > < D i a g r a m O b j e c t K e y > < K e y > M e a s u r e s \ S u m   o f   A d u l t   C C   b e d s   o c c < / K e y > < / D i a g r a m O b j e c t K e y > < D i a g r a m O b j e c t K e y > < K e y > M e a s u r e s \ S u m   o f   A d u l t   C C   b e d s   o c c \ T a g I n f o \ F o r m u l a < / K e y > < / D i a g r a m O b j e c t K e y > < D i a g r a m O b j e c t K e y > < K e y > M e a s u r e s \ S u m   o f   A d u l t   C C   b e d s   o c c \ T a g I n f o \ V a l u e < / K e y > < / D i a g r a m O b j e c t K e y > < D i a g r a m O b j e c t K e y > < K e y > M e a s u r e s \ S u m   o f   P a e d   I n t   C a r e   A v a i l < / K e y > < / D i a g r a m O b j e c t K e y > < D i a g r a m O b j e c t K e y > < K e y > M e a s u r e s \ S u m   o f   P a e d   I n t   C a r e   A v a i l \ T a g I n f o \ F o r m u l a < / K e y > < / D i a g r a m O b j e c t K e y > < D i a g r a m O b j e c t K e y > < K e y > M e a s u r e s \ S u m   o f   P a e d   I n t   C a r e   A v a i l \ T a g I n f o \ V a l u e < / K e y > < / D i a g r a m O b j e c t K e y > < D i a g r a m O b j e c t K e y > < K e y > M e a s u r e s \ S u m   o f   P a e d   I n t   C a r e   O c c < / K e y > < / D i a g r a m O b j e c t K e y > < D i a g r a m O b j e c t K e y > < K e y > M e a s u r e s \ S u m   o f   P a e d   I n t   C a r e   O c c \ T a g I n f o \ F o r m u l a < / K e y > < / D i a g r a m O b j e c t K e y > < D i a g r a m O b j e c t K e y > < K e y > M e a s u r e s \ S u m   o f   P a e d   I n t   C a r e   O c c \ T a g I n f o \ V a l u e < / K e y > < / D i a g r a m O b j e c t K e y > < D i a g r a m O b j e c t K e y > < K e y > M e a s u r e s \ S u m   o f   N e o   I n t   C a r e   A v a i l < / K e y > < / D i a g r a m O b j e c t K e y > < D i a g r a m O b j e c t K e y > < K e y > M e a s u r e s \ S u m   o f   N e o   I n t   C a r e   A v a i l \ T a g I n f o \ F o r m u l a < / K e y > < / D i a g r a m O b j e c t K e y > < D i a g r a m O b j e c t K e y > < K e y > M e a s u r e s \ S u m   o f   N e o   I n t   C a r e   A v a i l \ T a g I n f o \ V a l u e < / K e y > < / D i a g r a m O b j e c t K e y > < D i a g r a m O b j e c t K e y > < K e y > M e a s u r e s \ S u m   o f   N e o   I n t   C a r e   o c c < / K e y > < / D i a g r a m O b j e c t K e y > < D i a g r a m O b j e c t K e y > < K e y > M e a s u r e s \ S u m   o f   N e o   I n t   C a r e   o c c \ T a g I n f o \ F o r m u l a < / K e y > < / D i a g r a m O b j e c t K e y > < D i a g r a m O b j e c t K e y > < K e y > M e a s u r e s \ S u m   o f   N e o   I n t   C a r e   o c c \ T a g I n f o \ V a l u e < / K e y > < / D i a g r a m O b j e c t K e y > < D i a g r a m O b j e c t K e y > < K e y > M e a s u r e s \ A v e r a g e   o f   N e o   I n t   C a r e   A v a i l < / K e y > < / D i a g r a m O b j e c t K e y > < D i a g r a m O b j e c t K e y > < K e y > M e a s u r e s \ A v e r a g e   o f   N e o   I n t   C a r e   A v a i l \ T a g I n f o \ F o r m u l a < / K e y > < / D i a g r a m O b j e c t K e y > < D i a g r a m O b j e c t K e y > < K e y > M e a s u r e s \ A v e r a g e   o f   N e o   I n t   C a r e   A v a i l \ T a g I n f o \ V a l u e < / K e y > < / D i a g r a m O b j e c t K e y > < D i a g r a m O b j e c t K e y > < K e y > M e a s u r e s \ A v e r a g e   o f   N e o   I n t   C a r e   o c c < / K e y > < / D i a g r a m O b j e c t K e y > < D i a g r a m O b j e c t K e y > < K e y > M e a s u r e s \ A v e r a g e   o f   N e o   I n t   C a r e   o c c \ T a g I n f o \ F o r m u l a < / K e y > < / D i a g r a m O b j e c t K e y > < D i a g r a m O b j e c t K e y > < K e y > M e a s u r e s \ A v e r a g e   o f   N e o   I n t   C a r e   o c c \ T a g I n f o \ V a l u e < / K e y > < / D i a g r a m O b j e c t K e y > < D i a g r a m O b j e c t K e y > < K e y > M e a s u r e s \ S u m   o f   G A   b e d   o c c u p a n c y < / K e y > < / D i a g r a m O b j e c t K e y > < D i a g r a m O b j e c t K e y > < K e y > M e a s u r e s \ S u m   o f   G A   b e d   o c c u p a n c y \ T a g I n f o \ F o r m u l a < / K e y > < / D i a g r a m O b j e c t K e y > < D i a g r a m O b j e c t K e y > < K e y > M e a s u r e s \ S u m   o f   G A   b e d   o c c u p a n c y \ T a g I n f o \ V a l u e < / K e y > < / D i a g r a m O b j e c t K e y > < D i a g r a m O b j e c t K e y > < K e y > M e a s u r e s \ A v e r a g e   o f   G A   b e d   o c c u p a n c y < / K e y > < / D i a g r a m O b j e c t K e y > < D i a g r a m O b j e c t K e y > < K e y > M e a s u r e s \ A v e r a g e   o f   G A   b e d   o c c u p a n c y \ T a g I n f o \ F o r m u l a < / K e y > < / D i a g r a m O b j e c t K e y > < D i a g r a m O b j e c t K e y > < K e y > M e a s u r e s \ A v e r a g e   o f   G A   b e d   o c c u p a n c y \ T a g I n f o \ V a l u e < / K e y > < / D i a g r a m O b j e c t K e y > < D i a g r a m O b j e c t K e y > < K e y > M e a s u r e s \ S u m   o f   G A   c o r e   b e d s   a v a i l < / K e y > < / D i a g r a m O b j e c t K e y > < D i a g r a m O b j e c t K e y > < K e y > M e a s u r e s \ S u m   o f   G A   c o r e   b e d s   a v a i l \ T a g I n f o \ F o r m u l a < / K e y > < / D i a g r a m O b j e c t K e y > < D i a g r a m O b j e c t K e y > < K e y > M e a s u r e s \ S u m   o f   G A   c o r e   b e d s   a v a i l \ T a g I n f o \ V a l u e < / K e y > < / D i a g r a m O b j e c t K e y > < D i a g r a m O b j e c t K e y > < K e y > M e a s u r e s \ S u m   o f   G A   e s c a l a t i o n   b e d s   a v a i l < / K e y > < / D i a g r a m O b j e c t K e y > < D i a g r a m O b j e c t K e y > < K e y > M e a s u r e s \ S u m   o f   G A   e s c a l a t i o n   b e d s   a v a i l \ T a g I n f o \ F o r m u l a < / K e y > < / D i a g r a m O b j e c t K e y > < D i a g r a m O b j e c t K e y > < K e y > M e a s u r e s \ S u m   o f   G A   e s c a l a t i o n   b e d s   a v a i l \ T a g I n f o \ V a l u e < / K e y > < / D i a g r a m O b j e c t K e y > < D i a g r a m O b j e c t K e y > < K e y > M e a s u r e s \ S u m   o f   B e d s   o c c   o v e r   1 4   d a y s   2 < / K e y > < / D i a g r a m O b j e c t K e y > < D i a g r a m O b j e c t K e y > < K e y > M e a s u r e s \ S u m   o f   B e d s   o c c   o v e r   1 4   d a y s   2 \ T a g I n f o \ F o r m u l a < / K e y > < / D i a g r a m O b j e c t K e y > < D i a g r a m O b j e c t K e y > < K e y > M e a s u r e s \ S u m   o f   B e d s   o c c   o v e r   1 4   d a y s   2 \ T a g I n f o \ V a l u e < / K e y > < / D i a g r a m O b j e c t K e y > < D i a g r a m O b j e c t K e y > < K e y > M e a s u r e s \ S u m   o f   G A   f l u   b e d s < / K e y > < / D i a g r a m O b j e c t K e y > < D i a g r a m O b j e c t K e y > < K e y > M e a s u r e s \ S u m   o f   G A   f l u   b e d s \ T a g I n f o \ F o r m u l a < / K e y > < / D i a g r a m O b j e c t K e y > < D i a g r a m O b j e c t K e y > < K e y > M e a s u r e s \ S u m   o f   G A   f l u   b e d s \ T a g I n f o \ V a l u e < / K e y > < / D i a g r a m O b j e c t K e y > < D i a g r a m O b j e c t K e y > < K e y > M e a s u r e s \ S u m   o f   C C   f l u   b e d s < / K e y > < / D i a g r a m O b j e c t K e y > < D i a g r a m O b j e c t K e y > < K e y > M e a s u r e s \ S u m   o f   C C   f l u   b e d s \ T a g I n f o \ F o r m u l a < / K e y > < / D i a g r a m O b j e c t K e y > < D i a g r a m O b j e c t K e y > < K e y > M e a s u r e s \ S u m   o f   C C   f l u   b e d s \ T a g I n f o \ V a l u e < / K e y > < / D i a g r a m O b j e c t K e y > < D i a g r a m O b j e c t K e y > < K e y > M e a s u r e s \ S u m   o f   P a e d s   R S V   b e d s   c l o s e d < / K e y > < / D i a g r a m O b j e c t K e y > < D i a g r a m O b j e c t K e y > < K e y > M e a s u r e s \ S u m   o f   P a e d s   R S V   b e d s   c l o s e d \ T a g I n f o \ F o r m u l a < / K e y > < / D i a g r a m O b j e c t K e y > < D i a g r a m O b j e c t K e y > < K e y > M e a s u r e s \ S u m   o f   P a e d s   R S V   b e d s   c l o s e d \ T a g I n f o \ V a l u e < / K e y > < / D i a g r a m O b j e c t K e y > < D i a g r a m O b j e c t K e y > < K e y > M e a s u r e s \ S u m   o f   P a e d s   R S V   b e d s   c l o s e d   u n o c c < / K e y > < / D i a g r a m O b j e c t K e y > < D i a g r a m O b j e c t K e y > < K e y > M e a s u r e s \ S u m   o f   P a e d s   R S V   b e d s   c l o s e d   u n o c c \ T a g I n f o \ F o r m u l a < / K e y > < / D i a g r a m O b j e c t K e y > < D i a g r a m O b j e c t K e y > < K e y > M e a s u r e s \ S u m   o f   P a e d s   R S V   b e d s   c l o s e d   u n o c c \ T a g I n f o \ V a l u e < / K e y > < / D i a g r a m O b j e c t K e y > < D i a g r a m O b j e c t K e y > < K e y > C o l u m n s \ I D < / K e y > < / D i a g r a m O b j e c t K e y > < D i a g r a m O b j e c t K e y > < K e y > C o l u m n s \ c r i _ i d < / K e y > < / D i a g r a m O b j e c t K e y > < D i a g r a m O b j e c t K e y > < K e y > C o l u m n s \ d r _ i d < / K e y > < / D i a g r a m O b j e c t K e y > < D i a g r a m O b j e c t K e y > < K e y > C o l u m n s \ o r g _ i d < / K e y > < / D i a g r a m O b j e c t K e y > < D i a g r a m O b j e c t K e y > < K e y > C o l u m n s \ c r i _ d a t a p e r i o d s t a r t < / K e y > < / D i a g r a m O b j e c t K e y > < D i a g r a m O b j e c t K e y > < K e y > C o l u m n s \ C o d e < / K e y > < / D i a g r a m O b j e c t K e y > < D i a g r a m O b j e c t K e y > < K e y > C o l u m n s \ N a m e < / K e y > < / D i a g r a m O b j e c t K e y > < D i a g r a m O b j e c t K e y > < K e y > C o l u m n s \ D a t e < / K e y > < / D i a g r a m O b j e c t K e y > < D i a g r a m O b j e c t K e y > < K e y > C o l u m n s \ W e e k < / K e y > < / D i a g r a m O b j e c t K e y > < D i a g r a m O b j e c t K e y > < K e y > C o l u m n s \ D a y < / K e y > < / D i a g r a m O b j e c t K e y > < D i a g r a m O b j e c t K e y > < K e y > C o l u m n s \ B a n k   h o l i d a y < / K e y > < / D i a g r a m O b j e c t K e y > < D i a g r a m O b j e c t K e y > < K e y > C o l u m n s \ A E   c l o s u r e s < / K e y > < / D i a g r a m O b j e c t K e y > < D i a g r a m O b j e c t K e y > < K e y > C o l u m n s \ A E   d i v e r t s < / K e y > < / D i a g r a m O b j e c t K e y > < D i a g r a m O b j e c t K e y > < K e y > C o l u m n s \ A E   t y p e   1   a t t e n d a n c e s < / K e y > < / D i a g r a m O b j e c t K e y > < D i a g r a m O b j e c t K e y > < K e y > C o l u m n s \ A E   t y p e   2   a t t e n d a n c e s < / K e y > < / D i a g r a m O b j e c t K e y > < D i a g r a m O b j e c t K e y > < K e y > C o l u m n s \ A E   t y p e   3   a t t e n d a n c e s < / K e y > < / D i a g r a m O b j e c t K e y > < D i a g r a m O b j e c t K e y > < K e y > C o l u m n s \ A E   t o t a l   a t t e n d a n c e s < / K e y > < / D i a g r a m O b j e c t K e y > < D i a g r a m O b j e c t K e y > < K e y > C o l u m n s \ E m e r g e n c y   a d m i s s i o n s < / K e y > < / D i a g r a m O b j e c t K e y > < D i a g r a m O b j e c t K e y > < K e y > C o l u m n s \ G A   c o r e   b e d s   a v a i l < / K e y > < / D i a g r a m O b j e c t K e y > < D i a g r a m O b j e c t K e y > < K e y > C o l u m n s \ G A   e s c a l a t i o n   b e d s   a v a i l < / K e y > < / D i a g r a m O b j e c t K e y > < D i a g r a m O b j e c t K e y > < K e y > C o l u m n s \ G A   t o t a l   b e d s   a v a i l < / K e y > < / D i a g r a m O b j e c t K e y > < D i a g r a m O b j e c t K e y > < K e y > C o l u m n s \ G A   t o t a l   b e d s   o c c u p i e d < / K e y > < / D i a g r a m O b j e c t K e y > < D i a g r a m O b j e c t K e y > < K e y > C o l u m n s \ B e d s   c l o s e d   n o r o v i r u s < / K e y > < / D i a g r a m O b j e c t K e y > < D i a g r a m O b j e c t K e y > < K e y > C o l u m n s \ B e d s   c l o s e d   n o r o v i u s   u n o c c < / K e y > < / D i a g r a m O b j e c t K e y > < D i a g r a m O b j e c t K e y > < K e y > C o l u m n s \ A d u l t   C C   b e d s   a v a i l < / K e y > < / D i a g r a m O b j e c t K e y > < D i a g r a m O b j e c t K e y > < K e y > C o l u m n s \ A d u l t   C C   b e d s   o c c < / K e y > < / D i a g r a m O b j e c t K e y > < D i a g r a m O b j e c t K e y > < K e y > C o l u m n s \ P a e d   I n t   C a r e   A v a i l < / K e y > < / D i a g r a m O b j e c t K e y > < D i a g r a m O b j e c t K e y > < K e y > C o l u m n s \ P a e d   I n t   C a r e   O c c < / K e y > < / D i a g r a m O b j e c t K e y > < D i a g r a m O b j e c t K e y > < K e y > C o l u m n s \ N e o   I n t   C a r e   A v a i l < / K e y > < / D i a g r a m O b j e c t K e y > < D i a g r a m O b j e c t K e y > < K e y > C o l u m n s \ N e o   I n t   C a r e   o c c < / K e y > < / D i a g r a m O b j e c t K e y > < D i a g r a m O b j e c t K e y > < K e y > C o l u m n s \ O P E L   3   o r   a b o v e < / K e y > < / D i a g r a m O b j e c t K e y > < D i a g r a m O b j e c t K e y > < K e y > C o l u m n s \ W e e k e n d < / K e y > < / D i a g r a m O b j e c t K e y > < D i a g r a m O b j e c t K e y > < K e y > C o l u m n s \ R e g i o n < / K e y > < / D i a g r a m O b j e c t K e y > < D i a g r a m O b j e c t K e y > < K e y > C o l u m n s \ Y e a r < / K e y > < / D i a g r a m O b j e c t K e y > < D i a g r a m O b j e c t K e y > < K e y > C o l u m n s \ B e d s   o c c   o v e r   7   d a y s < / K e y > < / D i a g r a m O b j e c t K e y > < D i a g r a m O b j e c t K e y > < K e y > C o l u m n s \ B e d s   o c c   o v e r   2 1   d a y s < / K e y > < / D i a g r a m O b j e c t K e y > < D i a g r a m O b j e c t K e y > < K e y > C o l u m n s \ A m b   a r r i v a l s < / K e y > < / D i a g r a m O b j e c t K e y > < D i a g r a m O b j e c t K e y > < K e y > C o l u m n s \ A m b   d e l a y s   3 0 - 6 0   m i n s < / K e y > < / D i a g r a m O b j e c t K e y > < D i a g r a m O b j e c t K e y > < K e y > C o l u m n s \ A m b   d e l a y s   o v e r   6 0   m i n s < / K e y > < / D i a g r a m O b j e c t K e y > < D i a g r a m O b j e c t K e y > < K e y > C o l u m n s \ W e e k   l o n g < / K e y > < / D i a g r a m O b j e c t K e y > < D i a g r a m O b j e c t K e y > < K e y > C o l u m n s \ G A   b e d   o c c u p a n c y < / K e y > < / D i a g r a m O b j e c t K e y > < D i a g r a m O b j e c t K e y > < K e y > C o l u m n s \ B e d s   o c c   o v e r   1 4   d a y s < / K e y > < / D i a g r a m O b j e c t K e y > < D i a g r a m O b j e c t K e y > < K e y > C o l u m n s \ G A   f l u   b e d s < / K e y > < / D i a g r a m O b j e c t K e y > < D i a g r a m O b j e c t K e y > < K e y > C o l u m n s \ C C   f l u   b e d s < / K e y > < / D i a g r a m O b j e c t K e y > < D i a g r a m O b j e c t K e y > < K e y > C o l u m n s \ P a e d s   R S V   b e d s   c l o s e d < / K e y > < / D i a g r a m O b j e c t K e y > < D i a g r a m O b j e c t K e y > < K e y > C o l u m n s \ P a e d s   R S V   b e d s   c l o s e d   u n o c c < / K e y > < / D i a g r a m O b j e c t K e y > < D i a g r a m O b j e c t K e y > < K e y > L i n k s \ & l t ; C o l u m n s \ S u m   o f   A E   d i v e r t s & g t ; - & l t ; M e a s u r e s \ A E   d i v e r t s & g t ; < / K e y > < / D i a g r a m O b j e c t K e y > < D i a g r a m O b j e c t K e y > < K e y > L i n k s \ & l t ; C o l u m n s \ S u m   o f   A E   d i v e r t s & g t ; - & l t ; M e a s u r e s \ A E   d i v e r t s & g t ; \ C O L U M N < / K e y > < / D i a g r a m O b j e c t K e y > < D i a g r a m O b j e c t K e y > < K e y > L i n k s \ & l t ; C o l u m n s \ S u m   o f   A E   d i v e r t s & g t ; - & l t ; M e a s u r e s \ A E   d i v e r t s & g t ; \ M E A S U R E < / K e y > < / D i a g r a m O b j e c t K e y > < D i a g r a m O b j e c t K e y > < K e y > L i n k s \ & l t ; C o l u m n s \ S u m   o f   G A   t o t a l   b e d s   o c c u p i e d & g t ; - & l t ; M e a s u r e s \ G A   t o t a l   b e d s   o c c u p i e d & g t ; < / K e y > < / D i a g r a m O b j e c t K e y > < D i a g r a m O b j e c t K e y > < K e y > L i n k s \ & l t ; C o l u m n s \ S u m   o f   G A   t o t a l   b e d s   o c c u p i e d & g t ; - & l t ; M e a s u r e s \ G A   t o t a l   b e d s   o c c u p i e d & g t ; \ C O L U M N < / K e y > < / D i a g r a m O b j e c t K e y > < D i a g r a m O b j e c t K e y > < K e y > L i n k s \ & l t ; C o l u m n s \ S u m   o f   G A   t o t a l   b e d s   o c c u p i e d & g t ; - & l t ; M e a s u r e s \ G A   t o t a l   b e d s   o c c u p i e d & g t ; \ M E A S U R E < / K e y > < / D i a g r a m O b j e c t K e y > < D i a g r a m O b j e c t K e y > < K e y > L i n k s \ & l t ; C o l u m n s \ A v e r a g e   o f   G A   t o t a l   b e d s   o c c u p i e d & g t ; - & l t ; M e a s u r e s \ G A   t o t a l   b e d s   o c c u p i e d & g t ; < / K e y > < / D i a g r a m O b j e c t K e y > < D i a g r a m O b j e c t K e y > < K e y > L i n k s \ & l t ; C o l u m n s \ A v e r a g e   o f   G A   t o t a l   b e d s   o c c u p i e d & g t ; - & l t ; M e a s u r e s \ G A   t o t a l   b e d s   o c c u p i e d & g t ; \ C O L U M N < / K e y > < / D i a g r a m O b j e c t K e y > < D i a g r a m O b j e c t K e y > < K e y > L i n k s \ & l t ; C o l u m n s \ A v e r a g e   o f   G A   t o t a l   b e d s   o c c u p i e d & g t ; - & l t ; M e a s u r e s \ G A   t o t a l   b e d s   o c c u p i e d & g t ; \ M E A S U R E < / K e y > < / D i a g r a m O b j e c t K e y > < D i a g r a m O b j e c t K e y > < K e y > L i n k s \ & l t ; C o l u m n s \ S u m   o f   G A   t o t a l   b e d s   a v a i l & g t ; - & l t ; M e a s u r e s \ G A   t o t a l   b e d s   a v a i l & g t ; < / K e y > < / D i a g r a m O b j e c t K e y > < D i a g r a m O b j e c t K e y > < K e y > L i n k s \ & l t ; C o l u m n s \ S u m   o f   G A   t o t a l   b e d s   a v a i l & g t ; - & l t ; M e a s u r e s \ G A   t o t a l   b e d s   a v a i l & g t ; \ C O L U M N < / K e y > < / D i a g r a m O b j e c t K e y > < D i a g r a m O b j e c t K e y > < K e y > L i n k s \ & l t ; C o l u m n s \ S u m   o f   G A   t o t a l   b e d s   a v a i l & g t ; - & l t ; M e a s u r e s \ G A   t o t a l   b e d s   a v a i l & g t ; \ M E A S U R E < / K e y > < / D i a g r a m O b j e c t K e y > < D i a g r a m O b j e c t K e y > < K e y > L i n k s \ & l t ; C o l u m n s \ S u m   o f   B e d s   o c c   o v e r   7   d a y s & g t ; - & l t ; M e a s u r e s \ B e d s   o c c   o v e r   7   d a y s & g t ; < / K e y > < / D i a g r a m O b j e c t K e y > < D i a g r a m O b j e c t K e y > < K e y > L i n k s \ & l t ; C o l u m n s \ S u m   o f   B e d s   o c c   o v e r   7   d a y s & g t ; - & l t ; M e a s u r e s \ B e d s   o c c   o v e r   7   d a y s & g t ; \ C O L U M N < / K e y > < / D i a g r a m O b j e c t K e y > < D i a g r a m O b j e c t K e y > < K e y > L i n k s \ & l t ; C o l u m n s \ S u m   o f   B e d s   o c c   o v e r   7   d a y s & g t ; - & l t ; M e a s u r e s \ B e d s   o c c   o v e r   7   d a y s & g t ; \ M E A S U R E < / K e y > < / D i a g r a m O b j e c t K e y > < D i a g r a m O b j e c t K e y > < K e y > L i n k s \ & l t ; C o l u m n s \ S u m   o f   B e d s   o c c   o v e r   2 1   d a y s & g t ; - & l t ; M e a s u r e s \ B e d s   o c c   o v e r   2 1   d a y s & g t ; < / K e y > < / D i a g r a m O b j e c t K e y > < D i a g r a m O b j e c t K e y > < K e y > L i n k s \ & l t ; C o l u m n s \ S u m   o f   B e d s   o c c   o v e r   2 1   d a y s & g t ; - & l t ; M e a s u r e s \ B e d s   o c c   o v e r   2 1   d a y s & g t ; \ C O L U M N < / K e y > < / D i a g r a m O b j e c t K e y > < D i a g r a m O b j e c t K e y > < K e y > L i n k s \ & l t ; C o l u m n s \ S u m   o f   B e d s   o c c   o v e r   2 1   d a y s & g t ; - & l t ; M e a s u r e s \ B e d s   o c c   o v e r   2 1   d a y s & g t ; \ M E A S U R E < / K e y > < / D i a g r a m O b j e c t K e y > < D i a g r a m O b j e c t K e y > < K e y > L i n k s \ & l t ; C o l u m n s \ A v e r a g e   o f   B e d s   o c c   o v e r   2 1   d a y s & g t ; - & l t ; M e a s u r e s \ B e d s   o c c   o v e r   2 1   d a y s & g t ; < / K e y > < / D i a g r a m O b j e c t K e y > < D i a g r a m O b j e c t K e y > < K e y > L i n k s \ & l t ; C o l u m n s \ A v e r a g e   o f   B e d s   o c c   o v e r   2 1   d a y s & g t ; - & l t ; M e a s u r e s \ B e d s   o c c   o v e r   2 1   d a y s & g t ; \ C O L U M N < / K e y > < / D i a g r a m O b j e c t K e y > < D i a g r a m O b j e c t K e y > < K e y > L i n k s \ & l t ; C o l u m n s \ A v e r a g e   o f   B e d s   o c c   o v e r   2 1   d a y s & g t ; - & l t ; M e a s u r e s \ B e d s   o c c   o v e r   2 1   d a y s & g t ; \ M E A S U R E < / K e y > < / D i a g r a m O b j e c t K e y > < D i a g r a m O b j e c t K e y > < K e y > L i n k s \ & l t ; C o l u m n s \ S u m   o f   B e d s   c l o s e d   n o r o v i r u s & g t ; - & l t ; M e a s u r e s \ B e d s   c l o s e d   n o r o v i r u s & g t ; < / K e y > < / D i a g r a m O b j e c t K e y > < D i a g r a m O b j e c t K e y > < K e y > L i n k s \ & l t ; C o l u m n s \ S u m   o f   B e d s   c l o s e d   n o r o v i r u s & g t ; - & l t ; M e a s u r e s \ B e d s   c l o s e d   n o r o v i r u s & g t ; \ C O L U M N < / K e y > < / D i a g r a m O b j e c t K e y > < D i a g r a m O b j e c t K e y > < K e y > L i n k s \ & l t ; C o l u m n s \ S u m   o f   B e d s   c l o s e d   n o r o v i r u s & g t ; - & l t ; M e a s u r e s \ B e d s   c l o s e d   n o r o v i r u s & g t ; \ M E A S U R E < / K e y > < / D i a g r a m O b j e c t K e y > < D i a g r a m O b j e c t K e y > < K e y > L i n k s \ & l t ; C o l u m n s \ A v e r a g e   o f   B e d s   c l o s e d   n o r o v i r u s & g t ; - & l t ; M e a s u r e s \ B e d s   c l o s e d   n o r o v i r u s & g t ; < / K e y > < / D i a g r a m O b j e c t K e y > < D i a g r a m O b j e c t K e y > < K e y > L i n k s \ & l t ; C o l u m n s \ A v e r a g e   o f   B e d s   c l o s e d   n o r o v i r u s & g t ; - & l t ; M e a s u r e s \ B e d s   c l o s e d   n o r o v i r u s & g t ; \ C O L U M N < / K e y > < / D i a g r a m O b j e c t K e y > < D i a g r a m O b j e c t K e y > < K e y > L i n k s \ & l t ; C o l u m n s \ A v e r a g e   o f   B e d s   c l o s e d   n o r o v i r u s & g t ; - & l t ; M e a s u r e s \ B e d s   c l o s e d   n o r o v i r u s & g t ; \ M E A S U R E < / K e y > < / D i a g r a m O b j e c t K e y > < D i a g r a m O b j e c t K e y > < K e y > L i n k s \ & l t ; C o l u m n s \ S u m   o f   B e d s   c l o s e d   n o r o v i u s   u n o c c & g t ; - & l t ; M e a s u r e s \ B e d s   c l o s e d   n o r o v i u s   u n o c c & g t ; < / K e y > < / D i a g r a m O b j e c t K e y > < D i a g r a m O b j e c t K e y > < K e y > L i n k s \ & l t ; C o l u m n s \ S u m   o f   B e d s   c l o s e d   n o r o v i u s   u n o c c & g t ; - & l t ; M e a s u r e s \ B e d s   c l o s e d   n o r o v i u s   u n o c c & g t ; \ C O L U M N < / K e y > < / D i a g r a m O b j e c t K e y > < D i a g r a m O b j e c t K e y > < K e y > L i n k s \ & l t ; C o l u m n s \ S u m   o f   B e d s   c l o s e d   n o r o v i u s   u n o c c & g t ; - & l t ; M e a s u r e s \ B e d s   c l o s e d   n o r o v i u s   u n o c c & g t ; \ M E A S U R E < / K e y > < / D i a g r a m O b j e c t K e y > < D i a g r a m O b j e c t K e y > < K e y > L i n k s \ & l t ; C o l u m n s \ S u m   o f   A m b   a r r i v a l s & g t ; - & l t ; M e a s u r e s \ A m b   a r r i v a l s & g t ; < / K e y > < / D i a g r a m O b j e c t K e y > < D i a g r a m O b j e c t K e y > < K e y > L i n k s \ & l t ; C o l u m n s \ S u m   o f   A m b   a r r i v a l s & g t ; - & l t ; M e a s u r e s \ A m b   a r r i v a l s & g t ; \ C O L U M N < / K e y > < / D i a g r a m O b j e c t K e y > < D i a g r a m O b j e c t K e y > < K e y > L i n k s \ & l t ; C o l u m n s \ S u m   o f   A m b   a r r i v a l s & g t ; - & l t ; M e a s u r e s \ A m b   a r r i v a l s & g t ; \ M E A S U R E < / K e y > < / D i a g r a m O b j e c t K e y > < D i a g r a m O b j e c t K e y > < K e y > L i n k s \ & l t ; C o l u m n s \ S u m   o f   A m b   d e l a y s   3 0 - 6 0   m i n s & g t ; - & l t ; M e a s u r e s \ A m b   d e l a y s   3 0 - 6 0   m i n s & g t ; < / K e y > < / D i a g r a m O b j e c t K e y > < D i a g r a m O b j e c t K e y > < K e y > L i n k s \ & l t ; C o l u m n s \ S u m   o f   A m b   d e l a y s   3 0 - 6 0   m i n s & g t ; - & l t ; M e a s u r e s \ A m b   d e l a y s   3 0 - 6 0   m i n s & g t ; \ C O L U M N < / K e y > < / D i a g r a m O b j e c t K e y > < D i a g r a m O b j e c t K e y > < K e y > L i n k s \ & l t ; C o l u m n s \ S u m   o f   A m b   d e l a y s   3 0 - 6 0   m i n s & g t ; - & l t ; M e a s u r e s \ A m b   d e l a y s   3 0 - 6 0   m i n s & g t ; \ M E A S U R E < / K e y > < / D i a g r a m O b j e c t K e y > < D i a g r a m O b j e c t K e y > < K e y > L i n k s \ & l t ; C o l u m n s \ S u m   o f   A m b   d e l a y s   o v e r   6 0   m i n s & g t ; - & l t ; M e a s u r e s \ A m b   d e l a y s   o v e r   6 0   m i n s & g t ; < / K e y > < / D i a g r a m O b j e c t K e y > < D i a g r a m O b j e c t K e y > < K e y > L i n k s \ & l t ; C o l u m n s \ S u m   o f   A m b   d e l a y s   o v e r   6 0   m i n s & g t ; - & l t ; M e a s u r e s \ A m b   d e l a y s   o v e r   6 0   m i n s & g t ; \ C O L U M N < / K e y > < / D i a g r a m O b j e c t K e y > < D i a g r a m O b j e c t K e y > < K e y > L i n k s \ & l t ; C o l u m n s \ S u m   o f   A m b   d e l a y s   o v e r   6 0   m i n s & g t ; - & l t ; M e a s u r e s \ A m b   d e l a y s   o v e r   6 0   m i n s & g t ; \ M E A S U R E < / K e y > < / D i a g r a m O b j e c t K e y > < D i a g r a m O b j e c t K e y > < K e y > L i n k s \ & l t ; C o l u m n s \ S u m   o f   A d u l t   C C   b e d s   a v a i l & g t ; - & l t ; M e a s u r e s \ A d u l t   C C   b e d s   a v a i l & g t ; < / K e y > < / D i a g r a m O b j e c t K e y > < D i a g r a m O b j e c t K e y > < K e y > L i n k s \ & l t ; C o l u m n s \ S u m   o f   A d u l t   C C   b e d s   a v a i l & g t ; - & l t ; M e a s u r e s \ A d u l t   C C   b e d s   a v a i l & g t ; \ C O L U M N < / K e y > < / D i a g r a m O b j e c t K e y > < D i a g r a m O b j e c t K e y > < K e y > L i n k s \ & l t ; C o l u m n s \ S u m   o f   A d u l t   C C   b e d s   a v a i l & g t ; - & l t ; M e a s u r e s \ A d u l t   C C   b e d s   a v a i l & g t ; \ M E A S U R E < / K e y > < / D i a g r a m O b j e c t K e y > < D i a g r a m O b j e c t K e y > < K e y > L i n k s \ & l t ; C o l u m n s \ S u m   o f   A d u l t   C C   b e d s   o c c & g t ; - & l t ; M e a s u r e s \ A d u l t   C C   b e d s   o c c & g t ; < / K e y > < / D i a g r a m O b j e c t K e y > < D i a g r a m O b j e c t K e y > < K e y > L i n k s \ & l t ; C o l u m n s \ S u m   o f   A d u l t   C C   b e d s   o c c & g t ; - & l t ; M e a s u r e s \ A d u l t   C C   b e d s   o c c & g t ; \ C O L U M N < / K e y > < / D i a g r a m O b j e c t K e y > < D i a g r a m O b j e c t K e y > < K e y > L i n k s \ & l t ; C o l u m n s \ S u m   o f   A d u l t   C C   b e d s   o c c & g t ; - & l t ; M e a s u r e s \ A d u l t   C C   b e d s   o c c & g t ; \ M E A S U R E < / K e y > < / D i a g r a m O b j e c t K e y > < D i a g r a m O b j e c t K e y > < K e y > L i n k s \ & l t ; C o l u m n s \ S u m   o f   P a e d   I n t   C a r e   A v a i l & g t ; - & l t ; M e a s u r e s \ P a e d   I n t   C a r e   A v a i l & g t ; < / K e y > < / D i a g r a m O b j e c t K e y > < D i a g r a m O b j e c t K e y > < K e y > L i n k s \ & l t ; C o l u m n s \ S u m   o f   P a e d   I n t   C a r e   A v a i l & g t ; - & l t ; M e a s u r e s \ P a e d   I n t   C a r e   A v a i l & g t ; \ C O L U M N < / K e y > < / D i a g r a m O b j e c t K e y > < D i a g r a m O b j e c t K e y > < K e y > L i n k s \ & l t ; C o l u m n s \ S u m   o f   P a e d   I n t   C a r e   A v a i l & g t ; - & l t ; M e a s u r e s \ P a e d   I n t   C a r e   A v a i l & g t ; \ M E A S U R E < / K e y > < / D i a g r a m O b j e c t K e y > < D i a g r a m O b j e c t K e y > < K e y > L i n k s \ & l t ; C o l u m n s \ S u m   o f   P a e d   I n t   C a r e   O c c & g t ; - & l t ; M e a s u r e s \ P a e d   I n t   C a r e   O c c & g t ; < / K e y > < / D i a g r a m O b j e c t K e y > < D i a g r a m O b j e c t K e y > < K e y > L i n k s \ & l t ; C o l u m n s \ S u m   o f   P a e d   I n t   C a r e   O c c & g t ; - & l t ; M e a s u r e s \ P a e d   I n t   C a r e   O c c & g t ; \ C O L U M N < / K e y > < / D i a g r a m O b j e c t K e y > < D i a g r a m O b j e c t K e y > < K e y > L i n k s \ & l t ; C o l u m n s \ S u m   o f   P a e d   I n t   C a r e   O c c & g t ; - & l t ; M e a s u r e s \ P a e d   I n t   C a r e   O c c & g t ; \ M E A S U R E < / K e y > < / D i a g r a m O b j e c t K e y > < D i a g r a m O b j e c t K e y > < K e y > L i n k s \ & l t ; C o l u m n s \ S u m   o f   N e o   I n t   C a r e   A v a i l & g t ; - & l t ; M e a s u r e s \ N e o   I n t   C a r e   A v a i l & g t ; < / K e y > < / D i a g r a m O b j e c t K e y > < D i a g r a m O b j e c t K e y > < K e y > L i n k s \ & l t ; C o l u m n s \ S u m   o f   N e o   I n t   C a r e   A v a i l & g t ; - & l t ; M e a s u r e s \ N e o   I n t   C a r e   A v a i l & g t ; \ C O L U M N < / K e y > < / D i a g r a m O b j e c t K e y > < D i a g r a m O b j e c t K e y > < K e y > L i n k s \ & l t ; C o l u m n s \ S u m   o f   N e o   I n t   C a r e   A v a i l & g t ; - & l t ; M e a s u r e s \ N e o   I n t   C a r e   A v a i l & g t ; \ M E A S U R E < / K e y > < / D i a g r a m O b j e c t K e y > < D i a g r a m O b j e c t K e y > < K e y > L i n k s \ & l t ; C o l u m n s \ S u m   o f   N e o   I n t   C a r e   o c c & g t ; - & l t ; M e a s u r e s \ N e o   I n t   C a r e   o c c & g t ; < / K e y > < / D i a g r a m O b j e c t K e y > < D i a g r a m O b j e c t K e y > < K e y > L i n k s \ & l t ; C o l u m n s \ S u m   o f   N e o   I n t   C a r e   o c c & g t ; - & l t ; M e a s u r e s \ N e o   I n t   C a r e   o c c & g t ; \ C O L U M N < / K e y > < / D i a g r a m O b j e c t K e y > < D i a g r a m O b j e c t K e y > < K e y > L i n k s \ & l t ; C o l u m n s \ S u m   o f   N e o   I n t   C a r e   o c c & g t ; - & l t ; M e a s u r e s \ N e o   I n t   C a r e   o c c & g t ; \ M E A S U R E < / K e y > < / D i a g r a m O b j e c t K e y > < D i a g r a m O b j e c t K e y > < K e y > L i n k s \ & l t ; C o l u m n s \ A v e r a g e   o f   N e o   I n t   C a r e   A v a i l & g t ; - & l t ; M e a s u r e s \ N e o   I n t   C a r e   A v a i l & g t ; < / K e y > < / D i a g r a m O b j e c t K e y > < D i a g r a m O b j e c t K e y > < K e y > L i n k s \ & l t ; C o l u m n s \ A v e r a g e   o f   N e o   I n t   C a r e   A v a i l & g t ; - & l t ; M e a s u r e s \ N e o   I n t   C a r e   A v a i l & g t ; \ C O L U M N < / K e y > < / D i a g r a m O b j e c t K e y > < D i a g r a m O b j e c t K e y > < K e y > L i n k s \ & l t ; C o l u m n s \ A v e r a g e   o f   N e o   I n t   C a r e   A v a i l & g t ; - & l t ; M e a s u r e s \ N e o   I n t   C a r e   A v a i l & g t ; \ M E A S U R E < / K e y > < / D i a g r a m O b j e c t K e y > < D i a g r a m O b j e c t K e y > < K e y > L i n k s \ & l t ; C o l u m n s \ A v e r a g e   o f   N e o   I n t   C a r e   o c c & g t ; - & l t ; M e a s u r e s \ N e o   I n t   C a r e   o c c & g t ; < / K e y > < / D i a g r a m O b j e c t K e y > < D i a g r a m O b j e c t K e y > < K e y > L i n k s \ & l t ; C o l u m n s \ A v e r a g e   o f   N e o   I n t   C a r e   o c c & g t ; - & l t ; M e a s u r e s \ N e o   I n t   C a r e   o c c & g t ; \ C O L U M N < / K e y > < / D i a g r a m O b j e c t K e y > < D i a g r a m O b j e c t K e y > < K e y > L i n k s \ & l t ; C o l u m n s \ A v e r a g e   o f   N e o   I n t   C a r e   o c c & g t ; - & l t ; M e a s u r e s \ N e o   I n t   C a r e   o c c & g t ; \ M E A S U R E < / K e y > < / D i a g r a m O b j e c t K e y > < D i a g r a m O b j e c t K e y > < K e y > L i n k s \ & l t ; C o l u m n s \ S u m   o f   G A   b e d   o c c u p a n c y & g t ; - & l t ; M e a s u r e s \ G A   b e d   o c c u p a n c y & g t ; < / K e y > < / D i a g r a m O b j e c t K e y > < D i a g r a m O b j e c t K e y > < K e y > L i n k s \ & l t ; C o l u m n s \ S u m   o f   G A   b e d   o c c u p a n c y & g t ; - & l t ; M e a s u r e s \ G A   b e d   o c c u p a n c y & g t ; \ C O L U M N < / K e y > < / D i a g r a m O b j e c t K e y > < D i a g r a m O b j e c t K e y > < K e y > L i n k s \ & l t ; C o l u m n s \ S u m   o f   G A   b e d   o c c u p a n c y & g t ; - & l t ; M e a s u r e s \ G A   b e d   o c c u p a n c y & g t ; \ M E A S U R E < / K e y > < / D i a g r a m O b j e c t K e y > < D i a g r a m O b j e c t K e y > < K e y > L i n k s \ & l t ; C o l u m n s \ A v e r a g e   o f   G A   b e d   o c c u p a n c y & g t ; - & l t ; M e a s u r e s \ G A   b e d   o c c u p a n c y & g t ; < / K e y > < / D i a g r a m O b j e c t K e y > < D i a g r a m O b j e c t K e y > < K e y > L i n k s \ & l t ; C o l u m n s \ A v e r a g e   o f   G A   b e d   o c c u p a n c y & g t ; - & l t ; M e a s u r e s \ G A   b e d   o c c u p a n c y & g t ; \ C O L U M N < / K e y > < / D i a g r a m O b j e c t K e y > < D i a g r a m O b j e c t K e y > < K e y > L i n k s \ & l t ; C o l u m n s \ A v e r a g e   o f   G A   b e d   o c c u p a n c y & g t ; - & l t ; M e a s u r e s \ G A   b e d   o c c u p a n c y & g t ; \ M E A S U R E < / K e y > < / D i a g r a m O b j e c t K e y > < D i a g r a m O b j e c t K e y > < K e y > L i n k s \ & l t ; C o l u m n s \ S u m   o f   G A   c o r e   b e d s   a v a i l & g t ; - & l t ; M e a s u r e s \ G A   c o r e   b e d s   a v a i l & g t ; < / K e y > < / D i a g r a m O b j e c t K e y > < D i a g r a m O b j e c t K e y > < K e y > L i n k s \ & l t ; C o l u m n s \ S u m   o f   G A   c o r e   b e d s   a v a i l & g t ; - & l t ; M e a s u r e s \ G A   c o r e   b e d s   a v a i l & g t ; \ C O L U M N < / K e y > < / D i a g r a m O b j e c t K e y > < D i a g r a m O b j e c t K e y > < K e y > L i n k s \ & l t ; C o l u m n s \ S u m   o f   G A   c o r e   b e d s   a v a i l & g t ; - & l t ; M e a s u r e s \ G A   c o r e   b e d s   a v a i l & g t ; \ M E A S U R E < / K e y > < / D i a g r a m O b j e c t K e y > < D i a g r a m O b j e c t K e y > < K e y > L i n k s \ & l t ; C o l u m n s \ S u m   o f   G A   e s c a l a t i o n   b e d s   a v a i l & g t ; - & l t ; M e a s u r e s \ G A   e s c a l a t i o n   b e d s   a v a i l & g t ; < / K e y > < / D i a g r a m O b j e c t K e y > < D i a g r a m O b j e c t K e y > < K e y > L i n k s \ & l t ; C o l u m n s \ S u m   o f   G A   e s c a l a t i o n   b e d s   a v a i l & g t ; - & l t ; M e a s u r e s \ G A   e s c a l a t i o n   b e d s   a v a i l & g t ; \ C O L U M N < / K e y > < / D i a g r a m O b j e c t K e y > < D i a g r a m O b j e c t K e y > < K e y > L i n k s \ & l t ; C o l u m n s \ S u m   o f   G A   e s c a l a t i o n   b e d s   a v a i l & g t ; - & l t ; M e a s u r e s \ G A   e s c a l a t i o n   b e d s   a v a i l & g t ; \ M E A S U R E < / K e y > < / D i a g r a m O b j e c t K e y > < D i a g r a m O b j e c t K e y > < K e y > L i n k s \ & l t ; C o l u m n s \ S u m   o f   B e d s   o c c   o v e r   1 4   d a y s   2 & g t ; - & l t ; M e a s u r e s \ B e d s   o c c   o v e r   1 4   d a y s & g t ; < / K e y > < / D i a g r a m O b j e c t K e y > < D i a g r a m O b j e c t K e y > < K e y > L i n k s \ & l t ; C o l u m n s \ S u m   o f   B e d s   o c c   o v e r   1 4   d a y s   2 & g t ; - & l t ; M e a s u r e s \ B e d s   o c c   o v e r   1 4   d a y s & g t ; \ C O L U M N < / K e y > < / D i a g r a m O b j e c t K e y > < D i a g r a m O b j e c t K e y > < K e y > L i n k s \ & l t ; C o l u m n s \ S u m   o f   B e d s   o c c   o v e r   1 4   d a y s   2 & g t ; - & l t ; M e a s u r e s \ B e d s   o c c   o v e r   1 4   d a y s & g t ; \ M E A S U R E < / K e y > < / D i a g r a m O b j e c t K e y > < D i a g r a m O b j e c t K e y > < K e y > L i n k s \ & l t ; C o l u m n s \ S u m   o f   G A   f l u   b e d s & g t ; - & l t ; M e a s u r e s \ G A   f l u   b e d s & g t ; < / K e y > < / D i a g r a m O b j e c t K e y > < D i a g r a m O b j e c t K e y > < K e y > L i n k s \ & l t ; C o l u m n s \ S u m   o f   G A   f l u   b e d s & g t ; - & l t ; M e a s u r e s \ G A   f l u   b e d s & g t ; \ C O L U M N < / K e y > < / D i a g r a m O b j e c t K e y > < D i a g r a m O b j e c t K e y > < K e y > L i n k s \ & l t ; C o l u m n s \ S u m   o f   G A   f l u   b e d s & g t ; - & l t ; M e a s u r e s \ G A   f l u   b e d s & g t ; \ M E A S U R E < / K e y > < / D i a g r a m O b j e c t K e y > < D i a g r a m O b j e c t K e y > < K e y > L i n k s \ & l t ; C o l u m n s \ S u m   o f   C C   f l u   b e d s & g t ; - & l t ; M e a s u r e s \ C C   f l u   b e d s & g t ; < / K e y > < / D i a g r a m O b j e c t K e y > < D i a g r a m O b j e c t K e y > < K e y > L i n k s \ & l t ; C o l u m n s \ S u m   o f   C C   f l u   b e d s & g t ; - & l t ; M e a s u r e s \ C C   f l u   b e d s & g t ; \ C O L U M N < / K e y > < / D i a g r a m O b j e c t K e y > < D i a g r a m O b j e c t K e y > < K e y > L i n k s \ & l t ; C o l u m n s \ S u m   o f   C C   f l u   b e d s & g t ; - & l t ; M e a s u r e s \ C C   f l u   b e d s & g t ; \ M E A S U R E < / K e y > < / D i a g r a m O b j e c t K e y > < D i a g r a m O b j e c t K e y > < K e y > L i n k s \ & l t ; C o l u m n s \ S u m   o f   P a e d s   R S V   b e d s   c l o s e d & g t ; - & l t ; M e a s u r e s \ P a e d s   R S V   b e d s   c l o s e d & g t ; < / K e y > < / D i a g r a m O b j e c t K e y > < D i a g r a m O b j e c t K e y > < K e y > L i n k s \ & l t ; C o l u m n s \ S u m   o f   P a e d s   R S V   b e d s   c l o s e d & g t ; - & l t ; M e a s u r e s \ P a e d s   R S V   b e d s   c l o s e d & g t ; \ C O L U M N < / K e y > < / D i a g r a m O b j e c t K e y > < D i a g r a m O b j e c t K e y > < K e y > L i n k s \ & l t ; C o l u m n s \ S u m   o f   P a e d s   R S V   b e d s   c l o s e d & g t ; - & l t ; M e a s u r e s \ P a e d s   R S V   b e d s   c l o s e d & g t ; \ M E A S U R E < / K e y > < / D i a g r a m O b j e c t K e y > < D i a g r a m O b j e c t K e y > < K e y > L i n k s \ & l t ; C o l u m n s \ S u m   o f   P a e d s   R S V   b e d s   c l o s e d   u n o c c & g t ; - & l t ; M e a s u r e s \ P a e d s   R S V   b e d s   c l o s e d   u n o c c & g t ; < / K e y > < / D i a g r a m O b j e c t K e y > < D i a g r a m O b j e c t K e y > < K e y > L i n k s \ & l t ; C o l u m n s \ S u m   o f   P a e d s   R S V   b e d s   c l o s e d   u n o c c & g t ; - & l t ; M e a s u r e s \ P a e d s   R S V   b e d s   c l o s e d   u n o c c & g t ; \ C O L U M N < / K e y > < / D i a g r a m O b j e c t K e y > < D i a g r a m O b j e c t K e y > < K e y > L i n k s \ & l t ; C o l u m n s \ S u m   o f   P a e d s   R S V   b e d s   c l o s e d   u n o c c & g t ; - & l t ; M e a s u r e s \ P a e d s   R S V   b e d s   c l o s e d   u n o c c & g t ; \ M E A S U R E 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 A E   d i v e r t s < / K e y > < / a : K e y > < a : V a l u e   i : t y p e = " M e a s u r e G r i d N o d e V i e w S t a t e " > < C o l u m n > 1 3 < / C o l u m n > < L a y e d O u t > t r u e < / L a y e d O u t > < W a s U I I n v i s i b l e > t r u e < / W a s U I I n v i s i b l e > < / a : V a l u e > < / a : K e y V a l u e O f D i a g r a m O b j e c t K e y a n y T y p e z b w N T n L X > < a : K e y V a l u e O f D i a g r a m O b j e c t K e y a n y T y p e z b w N T n L X > < a : K e y > < K e y > M e a s u r e s \ S u m   o f   A E   d i v e r t s \ T a g I n f o \ F o r m u l a < / K e y > < / a : K e y > < a : V a l u e   i : t y p e = " M e a s u r e G r i d V i e w S t a t e I D i a g r a m T a g A d d i t i o n a l I n f o " / > < / a : K e y V a l u e O f D i a g r a m O b j e c t K e y a n y T y p e z b w N T n L X > < a : K e y V a l u e O f D i a g r a m O b j e c t K e y a n y T y p e z b w N T n L X > < a : K e y > < K e y > M e a s u r e s \ S u m   o f   A E   d i v e r t s \ T a g I n f o \ V a l u e < / K e y > < / a : K e y > < a : V a l u e   i : t y p e = " M e a s u r e G r i d V i e w S t a t e I D i a g r a m T a g A d d i t i o n a l I n f o " / > < / a : K e y V a l u e O f D i a g r a m O b j e c t K e y a n y T y p e z b w N T n L X > < a : K e y V a l u e O f D i a g r a m O b j e c t K e y a n y T y p e z b w N T n L X > < a : K e y > < K e y > M e a s u r e s \ S u m   o f   G A   t o t a l   b e d s   o c c u p i e d < / K e y > < / a : K e y > < a : V a l u e   i : t y p e = " M e a s u r e G r i d N o d e V i e w S t a t e " > < C o l u m n > 2 2 < / C o l u m n > < L a y e d O u t > t r u e < / L a y e d O u t > < W a s U I I n v i s i b l e > t r u e < / W a s U I I n v i s i b l e > < / a : V a l u e > < / a : K e y V a l u e O f D i a g r a m O b j e c t K e y a n y T y p e z b w N T n L X > < a : K e y V a l u e O f D i a g r a m O b j e c t K e y a n y T y p e z b w N T n L X > < a : K e y > < K e y > M e a s u r e s \ S u m   o f   G A   t o t a l   b e d s   o c c u p i e d \ T a g I n f o \ F o r m u l a < / K e y > < / a : K e y > < a : V a l u e   i : t y p e = " M e a s u r e G r i d V i e w S t a t e I D i a g r a m T a g A d d i t i o n a l I n f o " / > < / a : K e y V a l u e O f D i a g r a m O b j e c t K e y a n y T y p e z b w N T n L X > < a : K e y V a l u e O f D i a g r a m O b j e c t K e y a n y T y p e z b w N T n L X > < a : K e y > < K e y > M e a s u r e s \ S u m   o f   G A   t o t a l   b e d s   o c c u p i e d \ T a g I n f o \ V a l u e < / K e y > < / a : K e y > < a : V a l u e   i : t y p e = " M e a s u r e G r i d V i e w S t a t e I D i a g r a m T a g A d d i t i o n a l I n f o " / > < / a : K e y V a l u e O f D i a g r a m O b j e c t K e y a n y T y p e z b w N T n L X > < a : K e y V a l u e O f D i a g r a m O b j e c t K e y a n y T y p e z b w N T n L X > < a : K e y > < K e y > M e a s u r e s \ A v e r a g e   o f   G A   t o t a l   b e d s   o c c u p i e d < / K e y > < / a : K e y > < a : V a l u e   i : t y p e = " M e a s u r e G r i d N o d e V i e w S t a t e " > < C o l u m n > 2 2 < / C o l u m n > < L a y e d O u t > t r u e < / L a y e d O u t > < R o w > 1 < / R o w > < W a s U I I n v i s i b l e > t r u e < / W a s U I I n v i s i b l e > < / a : V a l u e > < / a : K e y V a l u e O f D i a g r a m O b j e c t K e y a n y T y p e z b w N T n L X > < a : K e y V a l u e O f D i a g r a m O b j e c t K e y a n y T y p e z b w N T n L X > < a : K e y > < K e y > M e a s u r e s \ A v e r a g e   o f   G A   t o t a l   b e d s   o c c u p i e d \ T a g I n f o \ F o r m u l a < / K e y > < / a : K e y > < a : V a l u e   i : t y p e = " M e a s u r e G r i d V i e w S t a t e I D i a g r a m T a g A d d i t i o n a l I n f o " / > < / a : K e y V a l u e O f D i a g r a m O b j e c t K e y a n y T y p e z b w N T n L X > < a : K e y V a l u e O f D i a g r a m O b j e c t K e y a n y T y p e z b w N T n L X > < a : K e y > < K e y > M e a s u r e s \ A v e r a g e   o f   G A   t o t a l   b e d s   o c c u p i e d \ T a g I n f o \ V a l u e < / K e y > < / a : K e y > < a : V a l u e   i : t y p e = " M e a s u r e G r i d V i e w S t a t e I D i a g r a m T a g A d d i t i o n a l I n f o " / > < / a : K e y V a l u e O f D i a g r a m O b j e c t K e y a n y T y p e z b w N T n L X > < a : K e y V a l u e O f D i a g r a m O b j e c t K e y a n y T y p e z b w N T n L X > < a : K e y > < K e y > M e a s u r e s \ S u m   o f   G A   t o t a l   b e d s   a v a i l < / K e y > < / a : K e y > < a : V a l u e   i : t y p e = " M e a s u r e G r i d N o d e V i e w S t a t e " > < C o l u m n > 2 1 < / C o l u m n > < L a y e d O u t > t r u e < / L a y e d O u t > < W a s U I I n v i s i b l e > t r u e < / W a s U I I n v i s i b l e > < / a : V a l u e > < / a : K e y V a l u e O f D i a g r a m O b j e c t K e y a n y T y p e z b w N T n L X > < a : K e y V a l u e O f D i a g r a m O b j e c t K e y a n y T y p e z b w N T n L X > < a : K e y > < K e y > M e a s u r e s \ S u m   o f   G A   t o t a l   b e d s   a v a i l \ T a g I n f o \ F o r m u l a < / K e y > < / a : K e y > < a : V a l u e   i : t y p e = " M e a s u r e G r i d V i e w S t a t e I D i a g r a m T a g A d d i t i o n a l I n f o " / > < / a : K e y V a l u e O f D i a g r a m O b j e c t K e y a n y T y p e z b w N T n L X > < a : K e y V a l u e O f D i a g r a m O b j e c t K e y a n y T y p e z b w N T n L X > < a : K e y > < K e y > M e a s u r e s \ S u m   o f   G A   t o t a l   b e d s   a v a i l \ T a g I n f o \ V a l u e < / K e y > < / a : K e y > < a : V a l u e   i : t y p e = " M e a s u r e G r i d V i e w S t a t e I D i a g r a m T a g A d d i t i o n a l I n f o " / > < / a : K e y V a l u e O f D i a g r a m O b j e c t K e y a n y T y p e z b w N T n L X > < a : K e y V a l u e O f D i a g r a m O b j e c t K e y a n y T y p e z b w N T n L X > < a : K e y > < K e y > M e a s u r e s \ S u m   o f   B e d s   o c c   o v e r   7   d a y s < / K e y > < / a : K e y > < a : V a l u e   i : t y p e = " M e a s u r e G r i d N o d e V i e w S t a t e " > < C o l u m n > 3 6 < / C o l u m n > < L a y e d O u t > t r u e < / L a y e d O u t > < W a s U I I n v i s i b l e > t r u e < / W a s U I I n v i s i b l e > < / a : V a l u e > < / a : K e y V a l u e O f D i a g r a m O b j e c t K e y a n y T y p e z b w N T n L X > < a : K e y V a l u e O f D i a g r a m O b j e c t K e y a n y T y p e z b w N T n L X > < a : K e y > < K e y > M e a s u r e s \ S u m   o f   B e d s   o c c   o v e r   7   d a y s \ T a g I n f o \ F o r m u l a < / K e y > < / a : K e y > < a : V a l u e   i : t y p e = " M e a s u r e G r i d V i e w S t a t e I D i a g r a m T a g A d d i t i o n a l I n f o " / > < / a : K e y V a l u e O f D i a g r a m O b j e c t K e y a n y T y p e z b w N T n L X > < a : K e y V a l u e O f D i a g r a m O b j e c t K e y a n y T y p e z b w N T n L X > < a : K e y > < K e y > M e a s u r e s \ S u m   o f   B e d s   o c c   o v e r   7   d a y s \ T a g I n f o \ V a l u e < / K e y > < / a : K e y > < a : V a l u e   i : t y p e = " M e a s u r e G r i d V i e w S t a t e I D i a g r a m T a g A d d i t i o n a l I n f o " / > < / a : K e y V a l u e O f D i a g r a m O b j e c t K e y a n y T y p e z b w N T n L X > < a : K e y V a l u e O f D i a g r a m O b j e c t K e y a n y T y p e z b w N T n L X > < a : K e y > < K e y > M e a s u r e s \ S u m   o f   B e d s   o c c   o v e r   2 1   d a y s < / K e y > < / a : K e y > < a : V a l u e   i : t y p e = " M e a s u r e G r i d N o d e V i e w S t a t e " > < C o l u m n > 3 7 < / C o l u m n > < L a y e d O u t > t r u e < / L a y e d O u t > < W a s U I I n v i s i b l e > t r u e < / W a s U I I n v i s i b l e > < / a : V a l u e > < / a : K e y V a l u e O f D i a g r a m O b j e c t K e y a n y T y p e z b w N T n L X > < a : K e y V a l u e O f D i a g r a m O b j e c t K e y a n y T y p e z b w N T n L X > < a : K e y > < K e y > M e a s u r e s \ S u m   o f   B e d s   o c c   o v e r   2 1   d a y s \ T a g I n f o \ F o r m u l a < / K e y > < / a : K e y > < a : V a l u e   i : t y p e = " M e a s u r e G r i d V i e w S t a t e I D i a g r a m T a g A d d i t i o n a l I n f o " / > < / a : K e y V a l u e O f D i a g r a m O b j e c t K e y a n y T y p e z b w N T n L X > < a : K e y V a l u e O f D i a g r a m O b j e c t K e y a n y T y p e z b w N T n L X > < a : K e y > < K e y > M e a s u r e s \ S u m   o f   B e d s   o c c   o v e r   2 1   d a y s \ T a g I n f o \ V a l u e < / K e y > < / a : K e y > < a : V a l u e   i : t y p e = " M e a s u r e G r i d V i e w S t a t e I D i a g r a m T a g A d d i t i o n a l I n f o " / > < / a : K e y V a l u e O f D i a g r a m O b j e c t K e y a n y T y p e z b w N T n L X > < a : K e y V a l u e O f D i a g r a m O b j e c t K e y a n y T y p e z b w N T n L X > < a : K e y > < K e y > M e a s u r e s \ A v e r a g e   o f   B e d s   o c c   o v e r   2 1   d a y s < / K e y > < / a : K e y > < a : V a l u e   i : t y p e = " M e a s u r e G r i d N o d e V i e w S t a t e " > < C o l u m n > 3 7 < / C o l u m n > < L a y e d O u t > t r u e < / L a y e d O u t > < R o w > 1 < / R o w > < W a s U I I n v i s i b l e > t r u e < / W a s U I I n v i s i b l e > < / a : V a l u e > < / a : K e y V a l u e O f D i a g r a m O b j e c t K e y a n y T y p e z b w N T n L X > < a : K e y V a l u e O f D i a g r a m O b j e c t K e y a n y T y p e z b w N T n L X > < a : K e y > < K e y > M e a s u r e s \ A v e r a g e   o f   B e d s   o c c   o v e r   2 1   d a y s \ T a g I n f o \ F o r m u l a < / K e y > < / a : K e y > < a : V a l u e   i : t y p e = " M e a s u r e G r i d V i e w S t a t e I D i a g r a m T a g A d d i t i o n a l I n f o " / > < / a : K e y V a l u e O f D i a g r a m O b j e c t K e y a n y T y p e z b w N T n L X > < a : K e y V a l u e O f D i a g r a m O b j e c t K e y a n y T y p e z b w N T n L X > < a : K e y > < K e y > M e a s u r e s \ A v e r a g e   o f   B e d s   o c c   o v e r   2 1   d a y s \ T a g I n f o \ V a l u e < / K e y > < / a : K e y > < a : V a l u e   i : t y p e = " M e a s u r e G r i d V i e w S t a t e I D i a g r a m T a g A d d i t i o n a l I n f o " / > < / a : K e y V a l u e O f D i a g r a m O b j e c t K e y a n y T y p e z b w N T n L X > < a : K e y V a l u e O f D i a g r a m O b j e c t K e y a n y T y p e z b w N T n L X > < a : K e y > < K e y > M e a s u r e s \ S u m   o f   B e d s   c l o s e d   n o r o v i r u s < / K e y > < / a : K e y > < a : V a l u e   i : t y p e = " M e a s u r e G r i d N o d e V i e w S t a t e " > < C o l u m n > 2 4 < / C o l u m n > < L a y e d O u t > t r u e < / L a y e d O u t > < W a s U I I n v i s i b l e > t r u e < / W a s U I I n v i s i b l e > < / a : V a l u e > < / a : K e y V a l u e O f D i a g r a m O b j e c t K e y a n y T y p e z b w N T n L X > < a : K e y V a l u e O f D i a g r a m O b j e c t K e y a n y T y p e z b w N T n L X > < a : K e y > < K e y > M e a s u r e s \ S u m   o f   B e d s   c l o s e d   n o r o v i r u s \ T a g I n f o \ F o r m u l a < / K e y > < / a : K e y > < a : V a l u e   i : t y p e = " M e a s u r e G r i d V i e w S t a t e I D i a g r a m T a g A d d i t i o n a l I n f o " / > < / a : K e y V a l u e O f D i a g r a m O b j e c t K e y a n y T y p e z b w N T n L X > < a : K e y V a l u e O f D i a g r a m O b j e c t K e y a n y T y p e z b w N T n L X > < a : K e y > < K e y > M e a s u r e s \ S u m   o f   B e d s   c l o s e d   n o r o v i r u s \ T a g I n f o \ V a l u e < / K e y > < / a : K e y > < a : V a l u e   i : t y p e = " M e a s u r e G r i d V i e w S t a t e I D i a g r a m T a g A d d i t i o n a l I n f o " / > < / a : K e y V a l u e O f D i a g r a m O b j e c t K e y a n y T y p e z b w N T n L X > < a : K e y V a l u e O f D i a g r a m O b j e c t K e y a n y T y p e z b w N T n L X > < a : K e y > < K e y > M e a s u r e s \ A v e r a g e   o f   B e d s   c l o s e d   n o r o v i r u s < / K e y > < / a : K e y > < a : V a l u e   i : t y p e = " M e a s u r e G r i d N o d e V i e w S t a t e " > < C o l u m n > 2 4 < / C o l u m n > < L a y e d O u t > t r u e < / L a y e d O u t > < R o w > 1 < / R o w > < W a s U I I n v i s i b l e > t r u e < / W a s U I I n v i s i b l e > < / a : V a l u e > < / a : K e y V a l u e O f D i a g r a m O b j e c t K e y a n y T y p e z b w N T n L X > < a : K e y V a l u e O f D i a g r a m O b j e c t K e y a n y T y p e z b w N T n L X > < a : K e y > < K e y > M e a s u r e s \ A v e r a g e   o f   B e d s   c l o s e d   n o r o v i r u s \ T a g I n f o \ F o r m u l a < / K e y > < / a : K e y > < a : V a l u e   i : t y p e = " M e a s u r e G r i d V i e w S t a t e I D i a g r a m T a g A d d i t i o n a l I n f o " / > < / a : K e y V a l u e O f D i a g r a m O b j e c t K e y a n y T y p e z b w N T n L X > < a : K e y V a l u e O f D i a g r a m O b j e c t K e y a n y T y p e z b w N T n L X > < a : K e y > < K e y > M e a s u r e s \ A v e r a g e   o f   B e d s   c l o s e d   n o r o v i r u s \ T a g I n f o \ V a l u e < / K e y > < / a : K e y > < a : V a l u e   i : t y p e = " M e a s u r e G r i d V i e w S t a t e I D i a g r a m T a g A d d i t i o n a l I n f o " / > < / a : K e y V a l u e O f D i a g r a m O b j e c t K e y a n y T y p e z b w N T n L X > < a : K e y V a l u e O f D i a g r a m O b j e c t K e y a n y T y p e z b w N T n L X > < a : K e y > < K e y > M e a s u r e s \ S u m   o f   B e d s   c l o s e d   n o r o v i u s   u n o c c < / K e y > < / a : K e y > < a : V a l u e   i : t y p e = " M e a s u r e G r i d N o d e V i e w S t a t e " > < C o l u m n > 2 5 < / C o l u m n > < L a y e d O u t > t r u e < / L a y e d O u t > < W a s U I I n v i s i b l e > t r u e < / W a s U I I n v i s i b l e > < / a : V a l u e > < / a : K e y V a l u e O f D i a g r a m O b j e c t K e y a n y T y p e z b w N T n L X > < a : K e y V a l u e O f D i a g r a m O b j e c t K e y a n y T y p e z b w N T n L X > < a : K e y > < K e y > M e a s u r e s \ S u m   o f   B e d s   c l o s e d   n o r o v i u s   u n o c c \ T a g I n f o \ F o r m u l a < / K e y > < / a : K e y > < a : V a l u e   i : t y p e = " M e a s u r e G r i d V i e w S t a t e I D i a g r a m T a g A d d i t i o n a l I n f o " / > < / a : K e y V a l u e O f D i a g r a m O b j e c t K e y a n y T y p e z b w N T n L X > < a : K e y V a l u e O f D i a g r a m O b j e c t K e y a n y T y p e z b w N T n L X > < a : K e y > < K e y > M e a s u r e s \ S u m   o f   B e d s   c l o s e d   n o r o v i u s   u n o c c \ T a g I n f o \ V a l u e < / K e y > < / a : K e y > < a : V a l u e   i : t y p e = " M e a s u r e G r i d V i e w S t a t e I D i a g r a m T a g A d d i t i o n a l I n f o " / > < / a : K e y V a l u e O f D i a g r a m O b j e c t K e y a n y T y p e z b w N T n L X > < a : K e y V a l u e O f D i a g r a m O b j e c t K e y a n y T y p e z b w N T n L X > < a : K e y > < K e y > M e a s u r e s \ S u m   o f   A m b   a r r i v a l s < / K e y > < / a : K e y > < a : V a l u e   i : t y p e = " M e a s u r e G r i d N o d e V i e w S t a t e " > < C o l u m n > 3 8 < / C o l u m n > < L a y e d O u t > t r u e < / L a y e d O u t > < W a s U I I n v i s i b l e > t r u e < / W a s U I I n v i s i b l e > < / a : V a l u e > < / a : K e y V a l u e O f D i a g r a m O b j e c t K e y a n y T y p e z b w N T n L X > < a : K e y V a l u e O f D i a g r a m O b j e c t K e y a n y T y p e z b w N T n L X > < a : K e y > < K e y > M e a s u r e s \ S u m   o f   A m b   a r r i v a l s \ T a g I n f o \ F o r m u l a < / K e y > < / a : K e y > < a : V a l u e   i : t y p e = " M e a s u r e G r i d V i e w S t a t e I D i a g r a m T a g A d d i t i o n a l I n f o " / > < / a : K e y V a l u e O f D i a g r a m O b j e c t K e y a n y T y p e z b w N T n L X > < a : K e y V a l u e O f D i a g r a m O b j e c t K e y a n y T y p e z b w N T n L X > < a : K e y > < K e y > M e a s u r e s \ S u m   o f   A m b   a r r i v a l s \ T a g I n f o \ V a l u e < / K e y > < / a : K e y > < a : V a l u e   i : t y p e = " M e a s u r e G r i d V i e w S t a t e I D i a g r a m T a g A d d i t i o n a l I n f o " / > < / a : K e y V a l u e O f D i a g r a m O b j e c t K e y a n y T y p e z b w N T n L X > < a : K e y V a l u e O f D i a g r a m O b j e c t K e y a n y T y p e z b w N T n L X > < a : K e y > < K e y > M e a s u r e s \ S u m   o f   A m b   d e l a y s   3 0 - 6 0   m i n s < / K e y > < / a : K e y > < a : V a l u e   i : t y p e = " M e a s u r e G r i d N o d e V i e w S t a t e " > < C o l u m n > 3 9 < / C o l u m n > < L a y e d O u t > t r u e < / L a y e d O u t > < W a s U I I n v i s i b l e > t r u e < / W a s U I I n v i s i b l e > < / a : V a l u e > < / a : K e y V a l u e O f D i a g r a m O b j e c t K e y a n y T y p e z b w N T n L X > < a : K e y V a l u e O f D i a g r a m O b j e c t K e y a n y T y p e z b w N T n L X > < a : K e y > < K e y > M e a s u r e s \ S u m   o f   A m b   d e l a y s   3 0 - 6 0   m i n s \ T a g I n f o \ F o r m u l a < / K e y > < / a : K e y > < a : V a l u e   i : t y p e = " M e a s u r e G r i d V i e w S t a t e I D i a g r a m T a g A d d i t i o n a l I n f o " / > < / a : K e y V a l u e O f D i a g r a m O b j e c t K e y a n y T y p e z b w N T n L X > < a : K e y V a l u e O f D i a g r a m O b j e c t K e y a n y T y p e z b w N T n L X > < a : K e y > < K e y > M e a s u r e s \ S u m   o f   A m b   d e l a y s   3 0 - 6 0   m i n s \ T a g I n f o \ V a l u e < / K e y > < / a : K e y > < a : V a l u e   i : t y p e = " M e a s u r e G r i d V i e w S t a t e I D i a g r a m T a g A d d i t i o n a l I n f o " / > < / a : K e y V a l u e O f D i a g r a m O b j e c t K e y a n y T y p e z b w N T n L X > < a : K e y V a l u e O f D i a g r a m O b j e c t K e y a n y T y p e z b w N T n L X > < a : K e y > < K e y > M e a s u r e s \ S u m   o f   A m b   d e l a y s   o v e r   6 0   m i n s < / K e y > < / a : K e y > < a : V a l u e   i : t y p e = " M e a s u r e G r i d N o d e V i e w S t a t e " > < C o l u m n > 4 0 < / C o l u m n > < L a y e d O u t > t r u e < / L a y e d O u t > < W a s U I I n v i s i b l e > t r u e < / W a s U I I n v i s i b l e > < / a : V a l u e > < / a : K e y V a l u e O f D i a g r a m O b j e c t K e y a n y T y p e z b w N T n L X > < a : K e y V a l u e O f D i a g r a m O b j e c t K e y a n y T y p e z b w N T n L X > < a : K e y > < K e y > M e a s u r e s \ S u m   o f   A m b   d e l a y s   o v e r   6 0   m i n s \ T a g I n f o \ F o r m u l a < / K e y > < / a : K e y > < a : V a l u e   i : t y p e = " M e a s u r e G r i d V i e w S t a t e I D i a g r a m T a g A d d i t i o n a l I n f o " / > < / a : K e y V a l u e O f D i a g r a m O b j e c t K e y a n y T y p e z b w N T n L X > < a : K e y V a l u e O f D i a g r a m O b j e c t K e y a n y T y p e z b w N T n L X > < a : K e y > < K e y > M e a s u r e s \ S u m   o f   A m b   d e l a y s   o v e r   6 0   m i n s \ T a g I n f o \ V a l u e < / K e y > < / a : K e y > < a : V a l u e   i : t y p e = " M e a s u r e G r i d V i e w S t a t e I D i a g r a m T a g A d d i t i o n a l I n f o " / > < / a : K e y V a l u e O f D i a g r a m O b j e c t K e y a n y T y p e z b w N T n L X > < a : K e y V a l u e O f D i a g r a m O b j e c t K e y a n y T y p e z b w N T n L X > < a : K e y > < K e y > M e a s u r e s \ S u m   o f   A d u l t   C C   b e d s   a v a i l < / K e y > < / a : K e y > < a : V a l u e   i : t y p e = " M e a s u r e G r i d N o d e V i e w S t a t e " > < C o l u m n > 2 6 < / C o l u m n > < L a y e d O u t > t r u e < / L a y e d O u t > < W a s U I I n v i s i b l e > t r u e < / W a s U I I n v i s i b l e > < / a : V a l u e > < / a : K e y V a l u e O f D i a g r a m O b j e c t K e y a n y T y p e z b w N T n L X > < a : K e y V a l u e O f D i a g r a m O b j e c t K e y a n y T y p e z b w N T n L X > < a : K e y > < K e y > M e a s u r e s \ S u m   o f   A d u l t   C C   b e d s   a v a i l \ T a g I n f o \ F o r m u l a < / K e y > < / a : K e y > < a : V a l u e   i : t y p e = " M e a s u r e G r i d V i e w S t a t e I D i a g r a m T a g A d d i t i o n a l I n f o " / > < / a : K e y V a l u e O f D i a g r a m O b j e c t K e y a n y T y p e z b w N T n L X > < a : K e y V a l u e O f D i a g r a m O b j e c t K e y a n y T y p e z b w N T n L X > < a : K e y > < K e y > M e a s u r e s \ S u m   o f   A d u l t   C C   b e d s   a v a i l \ T a g I n f o \ V a l u e < / K e y > < / a : K e y > < a : V a l u e   i : t y p e = " M e a s u r e G r i d V i e w S t a t e I D i a g r a m T a g A d d i t i o n a l I n f o " / > < / a : K e y V a l u e O f D i a g r a m O b j e c t K e y a n y T y p e z b w N T n L X > < a : K e y V a l u e O f D i a g r a m O b j e c t K e y a n y T y p e z b w N T n L X > < a : K e y > < K e y > M e a s u r e s \ S u m   o f   A d u l t   C C   b e d s   o c c < / K e y > < / a : K e y > < a : V a l u e   i : t y p e = " M e a s u r e G r i d N o d e V i e w S t a t e " > < C o l u m n > 2 7 < / C o l u m n > < L a y e d O u t > t r u e < / L a y e d O u t > < W a s U I I n v i s i b l e > t r u e < / W a s U I I n v i s i b l e > < / a : V a l u e > < / a : K e y V a l u e O f D i a g r a m O b j e c t K e y a n y T y p e z b w N T n L X > < a : K e y V a l u e O f D i a g r a m O b j e c t K e y a n y T y p e z b w N T n L X > < a : K e y > < K e y > M e a s u r e s \ S u m   o f   A d u l t   C C   b e d s   o c c \ T a g I n f o \ F o r m u l a < / K e y > < / a : K e y > < a : V a l u e   i : t y p e = " M e a s u r e G r i d V i e w S t a t e I D i a g r a m T a g A d d i t i o n a l I n f o " / > < / a : K e y V a l u e O f D i a g r a m O b j e c t K e y a n y T y p e z b w N T n L X > < a : K e y V a l u e O f D i a g r a m O b j e c t K e y a n y T y p e z b w N T n L X > < a : K e y > < K e y > M e a s u r e s \ S u m   o f   A d u l t   C C   b e d s   o c c \ T a g I n f o \ V a l u e < / K e y > < / a : K e y > < a : V a l u e   i : t y p e = " M e a s u r e G r i d V i e w S t a t e I D i a g r a m T a g A d d i t i o n a l I n f o " / > < / a : K e y V a l u e O f D i a g r a m O b j e c t K e y a n y T y p e z b w N T n L X > < a : K e y V a l u e O f D i a g r a m O b j e c t K e y a n y T y p e z b w N T n L X > < a : K e y > < K e y > M e a s u r e s \ S u m   o f   P a e d   I n t   C a r e   A v a i l < / K e y > < / a : K e y > < a : V a l u e   i : t y p e = " M e a s u r e G r i d N o d e V i e w S t a t e " > < C o l u m n > 2 8 < / C o l u m n > < L a y e d O u t > t r u e < / L a y e d O u t > < W a s U I I n v i s i b l e > t r u e < / W a s U I I n v i s i b l e > < / a : V a l u e > < / a : K e y V a l u e O f D i a g r a m O b j e c t K e y a n y T y p e z b w N T n L X > < a : K e y V a l u e O f D i a g r a m O b j e c t K e y a n y T y p e z b w N T n L X > < a : K e y > < K e y > M e a s u r e s \ S u m   o f   P a e d   I n t   C a r e   A v a i l \ T a g I n f o \ F o r m u l a < / K e y > < / a : K e y > < a : V a l u e   i : t y p e = " M e a s u r e G r i d V i e w S t a t e I D i a g r a m T a g A d d i t i o n a l I n f o " / > < / a : K e y V a l u e O f D i a g r a m O b j e c t K e y a n y T y p e z b w N T n L X > < a : K e y V a l u e O f D i a g r a m O b j e c t K e y a n y T y p e z b w N T n L X > < a : K e y > < K e y > M e a s u r e s \ S u m   o f   P a e d   I n t   C a r e   A v a i l \ T a g I n f o \ V a l u e < / K e y > < / a : K e y > < a : V a l u e   i : t y p e = " M e a s u r e G r i d V i e w S t a t e I D i a g r a m T a g A d d i t i o n a l I n f o " / > < / a : K e y V a l u e O f D i a g r a m O b j e c t K e y a n y T y p e z b w N T n L X > < a : K e y V a l u e O f D i a g r a m O b j e c t K e y a n y T y p e z b w N T n L X > < a : K e y > < K e y > M e a s u r e s \ S u m   o f   P a e d   I n t   C a r e   O c c < / K e y > < / a : K e y > < a : V a l u e   i : t y p e = " M e a s u r e G r i d N o d e V i e w S t a t e " > < C o l u m n > 2 9 < / C o l u m n > < L a y e d O u t > t r u e < / L a y e d O u t > < W a s U I I n v i s i b l e > t r u e < / W a s U I I n v i s i b l e > < / a : V a l u e > < / a : K e y V a l u e O f D i a g r a m O b j e c t K e y a n y T y p e z b w N T n L X > < a : K e y V a l u e O f D i a g r a m O b j e c t K e y a n y T y p e z b w N T n L X > < a : K e y > < K e y > M e a s u r e s \ S u m   o f   P a e d   I n t   C a r e   O c c \ T a g I n f o \ F o r m u l a < / K e y > < / a : K e y > < a : V a l u e   i : t y p e = " M e a s u r e G r i d V i e w S t a t e I D i a g r a m T a g A d d i t i o n a l I n f o " / > < / a : K e y V a l u e O f D i a g r a m O b j e c t K e y a n y T y p e z b w N T n L X > < a : K e y V a l u e O f D i a g r a m O b j e c t K e y a n y T y p e z b w N T n L X > < a : K e y > < K e y > M e a s u r e s \ S u m   o f   P a e d   I n t   C a r e   O c c \ T a g I n f o \ V a l u e < / K e y > < / a : K e y > < a : V a l u e   i : t y p e = " M e a s u r e G r i d V i e w S t a t e I D i a g r a m T a g A d d i t i o n a l I n f o " / > < / a : K e y V a l u e O f D i a g r a m O b j e c t K e y a n y T y p e z b w N T n L X > < a : K e y V a l u e O f D i a g r a m O b j e c t K e y a n y T y p e z b w N T n L X > < a : K e y > < K e y > M e a s u r e s \ S u m   o f   N e o   I n t   C a r e   A v a i l < / K e y > < / a : K e y > < a : V a l u e   i : t y p e = " M e a s u r e G r i d N o d e V i e w S t a t e " > < C o l u m n > 3 0 < / C o l u m n > < L a y e d O u t > t r u e < / L a y e d O u t > < W a s U I I n v i s i b l e > t r u e < / W a s U I I n v i s i b l e > < / a : V a l u e > < / a : K e y V a l u e O f D i a g r a m O b j e c t K e y a n y T y p e z b w N T n L X > < a : K e y V a l u e O f D i a g r a m O b j e c t K e y a n y T y p e z b w N T n L X > < a : K e y > < K e y > M e a s u r e s \ S u m   o f   N e o   I n t   C a r e   A v a i l \ T a g I n f o \ F o r m u l a < / K e y > < / a : K e y > < a : V a l u e   i : t y p e = " M e a s u r e G r i d V i e w S t a t e I D i a g r a m T a g A d d i t i o n a l I n f o " / > < / a : K e y V a l u e O f D i a g r a m O b j e c t K e y a n y T y p e z b w N T n L X > < a : K e y V a l u e O f D i a g r a m O b j e c t K e y a n y T y p e z b w N T n L X > < a : K e y > < K e y > M e a s u r e s \ S u m   o f   N e o   I n t   C a r e   A v a i l \ T a g I n f o \ V a l u e < / K e y > < / a : K e y > < a : V a l u e   i : t y p e = " M e a s u r e G r i d V i e w S t a t e I D i a g r a m T a g A d d i t i o n a l I n f o " / > < / a : K e y V a l u e O f D i a g r a m O b j e c t K e y a n y T y p e z b w N T n L X > < a : K e y V a l u e O f D i a g r a m O b j e c t K e y a n y T y p e z b w N T n L X > < a : K e y > < K e y > M e a s u r e s \ S u m   o f   N e o   I n t   C a r e   o c c < / K e y > < / a : K e y > < a : V a l u e   i : t y p e = " M e a s u r e G r i d N o d e V i e w S t a t e " > < C o l u m n > 3 1 < / C o l u m n > < L a y e d O u t > t r u e < / L a y e d O u t > < W a s U I I n v i s i b l e > t r u e < / W a s U I I n v i s i b l e > < / a : V a l u e > < / a : K e y V a l u e O f D i a g r a m O b j e c t K e y a n y T y p e z b w N T n L X > < a : K e y V a l u e O f D i a g r a m O b j e c t K e y a n y T y p e z b w N T n L X > < a : K e y > < K e y > M e a s u r e s \ S u m   o f   N e o   I n t   C a r e   o c c \ T a g I n f o \ F o r m u l a < / K e y > < / a : K e y > < a : V a l u e   i : t y p e = " M e a s u r e G r i d V i e w S t a t e I D i a g r a m T a g A d d i t i o n a l I n f o " / > < / a : K e y V a l u e O f D i a g r a m O b j e c t K e y a n y T y p e z b w N T n L X > < a : K e y V a l u e O f D i a g r a m O b j e c t K e y a n y T y p e z b w N T n L X > < a : K e y > < K e y > M e a s u r e s \ S u m   o f   N e o   I n t   C a r e   o c c \ T a g I n f o \ V a l u e < / K e y > < / a : K e y > < a : V a l u e   i : t y p e = " M e a s u r e G r i d V i e w S t a t e I D i a g r a m T a g A d d i t i o n a l I n f o " / > < / a : K e y V a l u e O f D i a g r a m O b j e c t K e y a n y T y p e z b w N T n L X > < a : K e y V a l u e O f D i a g r a m O b j e c t K e y a n y T y p e z b w N T n L X > < a : K e y > < K e y > M e a s u r e s \ A v e r a g e   o f   N e o   I n t   C a r e   A v a i l < / K e y > < / a : K e y > < a : V a l u e   i : t y p e = " M e a s u r e G r i d N o d e V i e w S t a t e " > < C o l u m n > 3 0 < / C o l u m n > < L a y e d O u t > t r u e < / L a y e d O u t > < R o w > 1 < / R o w > < W a s U I I n v i s i b l e > t r u e < / W a s U I I n v i s i b l e > < / a : V a l u e > < / a : K e y V a l u e O f D i a g r a m O b j e c t K e y a n y T y p e z b w N T n L X > < a : K e y V a l u e O f D i a g r a m O b j e c t K e y a n y T y p e z b w N T n L X > < a : K e y > < K e y > M e a s u r e s \ A v e r a g e   o f   N e o   I n t   C a r e   A v a i l \ T a g I n f o \ F o r m u l a < / K e y > < / a : K e y > < a : V a l u e   i : t y p e = " M e a s u r e G r i d V i e w S t a t e I D i a g r a m T a g A d d i t i o n a l I n f o " / > < / a : K e y V a l u e O f D i a g r a m O b j e c t K e y a n y T y p e z b w N T n L X > < a : K e y V a l u e O f D i a g r a m O b j e c t K e y a n y T y p e z b w N T n L X > < a : K e y > < K e y > M e a s u r e s \ A v e r a g e   o f   N e o   I n t   C a r e   A v a i l \ T a g I n f o \ V a l u e < / K e y > < / a : K e y > < a : V a l u e   i : t y p e = " M e a s u r e G r i d V i e w S t a t e I D i a g r a m T a g A d d i t i o n a l I n f o " / > < / a : K e y V a l u e O f D i a g r a m O b j e c t K e y a n y T y p e z b w N T n L X > < a : K e y V a l u e O f D i a g r a m O b j e c t K e y a n y T y p e z b w N T n L X > < a : K e y > < K e y > M e a s u r e s \ A v e r a g e   o f   N e o   I n t   C a r e   o c c < / K e y > < / a : K e y > < a : V a l u e   i : t y p e = " M e a s u r e G r i d N o d e V i e w S t a t e " > < C o l u m n > 3 1 < / C o l u m n > < L a y e d O u t > t r u e < / L a y e d O u t > < R o w > 1 < / R o w > < W a s U I I n v i s i b l e > t r u e < / W a s U I I n v i s i b l e > < / a : V a l u e > < / a : K e y V a l u e O f D i a g r a m O b j e c t K e y a n y T y p e z b w N T n L X > < a : K e y V a l u e O f D i a g r a m O b j e c t K e y a n y T y p e z b w N T n L X > < a : K e y > < K e y > M e a s u r e s \ A v e r a g e   o f   N e o   I n t   C a r e   o c c \ T a g I n f o \ F o r m u l a < / K e y > < / a : K e y > < a : V a l u e   i : t y p e = " M e a s u r e G r i d V i e w S t a t e I D i a g r a m T a g A d d i t i o n a l I n f o " / > < / a : K e y V a l u e O f D i a g r a m O b j e c t K e y a n y T y p e z b w N T n L X > < a : K e y V a l u e O f D i a g r a m O b j e c t K e y a n y T y p e z b w N T n L X > < a : K e y > < K e y > M e a s u r e s \ A v e r a g e   o f   N e o   I n t   C a r e   o c c \ T a g I n f o \ V a l u e < / K e y > < / a : K e y > < a : V a l u e   i : t y p e = " M e a s u r e G r i d V i e w S t a t e I D i a g r a m T a g A d d i t i o n a l I n f o " / > < / a : K e y V a l u e O f D i a g r a m O b j e c t K e y a n y T y p e z b w N T n L X > < a : K e y V a l u e O f D i a g r a m O b j e c t K e y a n y T y p e z b w N T n L X > < a : K e y > < K e y > M e a s u r e s \ S u m   o f   G A   b e d   o c c u p a n c y < / K e y > < / a : K e y > < a : V a l u e   i : t y p e = " M e a s u r e G r i d N o d e V i e w S t a t e " > < C o l u m n > 2 3 < / C o l u m n > < L a y e d O u t > t r u e < / L a y e d O u t > < W a s U I I n v i s i b l e > t r u e < / W a s U I I n v i s i b l e > < / a : V a l u e > < / a : K e y V a l u e O f D i a g r a m O b j e c t K e y a n y T y p e z b w N T n L X > < a : K e y V a l u e O f D i a g r a m O b j e c t K e y a n y T y p e z b w N T n L X > < a : K e y > < K e y > M e a s u r e s \ S u m   o f   G A   b e d   o c c u p a n c y \ T a g I n f o \ F o r m u l a < / K e y > < / a : K e y > < a : V a l u e   i : t y p e = " M e a s u r e G r i d V i e w S t a t e I D i a g r a m T a g A d d i t i o n a l I n f o " / > < / a : K e y V a l u e O f D i a g r a m O b j e c t K e y a n y T y p e z b w N T n L X > < a : K e y V a l u e O f D i a g r a m O b j e c t K e y a n y T y p e z b w N T n L X > < a : K e y > < K e y > M e a s u r e s \ S u m   o f   G A   b e d   o c c u p a n c y \ T a g I n f o \ V a l u e < / K e y > < / a : K e y > < a : V a l u e   i : t y p e = " M e a s u r e G r i d V i e w S t a t e I D i a g r a m T a g A d d i t i o n a l I n f o " / > < / a : K e y V a l u e O f D i a g r a m O b j e c t K e y a n y T y p e z b w N T n L X > < a : K e y V a l u e O f D i a g r a m O b j e c t K e y a n y T y p e z b w N T n L X > < a : K e y > < K e y > M e a s u r e s \ A v e r a g e   o f   G A   b e d   o c c u p a n c y < / K e y > < / a : K e y > < a : V a l u e   i : t y p e = " M e a s u r e G r i d N o d e V i e w S t a t e " > < C o l u m n > 2 3 < / C o l u m n > < L a y e d O u t > t r u e < / L a y e d O u t > < R o w > 1 < / R o w > < W a s U I I n v i s i b l e > t r u e < / W a s U I I n v i s i b l e > < / a : V a l u e > < / a : K e y V a l u e O f D i a g r a m O b j e c t K e y a n y T y p e z b w N T n L X > < a : K e y V a l u e O f D i a g r a m O b j e c t K e y a n y T y p e z b w N T n L X > < a : K e y > < K e y > M e a s u r e s \ A v e r a g e   o f   G A   b e d   o c c u p a n c y \ T a g I n f o \ F o r m u l a < / K e y > < / a : K e y > < a : V a l u e   i : t y p e = " M e a s u r e G r i d V i e w S t a t e I D i a g r a m T a g A d d i t i o n a l I n f o " / > < / a : K e y V a l u e O f D i a g r a m O b j e c t K e y a n y T y p e z b w N T n L X > < a : K e y V a l u e O f D i a g r a m O b j e c t K e y a n y T y p e z b w N T n L X > < a : K e y > < K e y > M e a s u r e s \ A v e r a g e   o f   G A   b e d   o c c u p a n c y \ T a g I n f o \ V a l u e < / K e y > < / a : K e y > < a : V a l u e   i : t y p e = " M e a s u r e G r i d V i e w S t a t e I D i a g r a m T a g A d d i t i o n a l I n f o " / > < / a : K e y V a l u e O f D i a g r a m O b j e c t K e y a n y T y p e z b w N T n L X > < a : K e y V a l u e O f D i a g r a m O b j e c t K e y a n y T y p e z b w N T n L X > < a : K e y > < K e y > M e a s u r e s \ S u m   o f   G A   c o r e   b e d s   a v a i l < / K e y > < / a : K e y > < a : V a l u e   i : t y p e = " M e a s u r e G r i d N o d e V i e w S t a t e " > < C o l u m n > 1 9 < / C o l u m n > < L a y e d O u t > t r u e < / L a y e d O u t > < W a s U I I n v i s i b l e > t r u e < / W a s U I I n v i s i b l e > < / a : V a l u e > < / a : K e y V a l u e O f D i a g r a m O b j e c t K e y a n y T y p e z b w N T n L X > < a : K e y V a l u e O f D i a g r a m O b j e c t K e y a n y T y p e z b w N T n L X > < a : K e y > < K e y > M e a s u r e s \ S u m   o f   G A   c o r e   b e d s   a v a i l \ T a g I n f o \ F o r m u l a < / K e y > < / a : K e y > < a : V a l u e   i : t y p e = " M e a s u r e G r i d V i e w S t a t e I D i a g r a m T a g A d d i t i o n a l I n f o " / > < / a : K e y V a l u e O f D i a g r a m O b j e c t K e y a n y T y p e z b w N T n L X > < a : K e y V a l u e O f D i a g r a m O b j e c t K e y a n y T y p e z b w N T n L X > < a : K e y > < K e y > M e a s u r e s \ S u m   o f   G A   c o r e   b e d s   a v a i l \ T a g I n f o \ V a l u e < / K e y > < / a : K e y > < a : V a l u e   i : t y p e = " M e a s u r e G r i d V i e w S t a t e I D i a g r a m T a g A d d i t i o n a l I n f o " / > < / a : K e y V a l u e O f D i a g r a m O b j e c t K e y a n y T y p e z b w N T n L X > < a : K e y V a l u e O f D i a g r a m O b j e c t K e y a n y T y p e z b w N T n L X > < a : K e y > < K e y > M e a s u r e s \ S u m   o f   G A   e s c a l a t i o n   b e d s   a v a i l < / K e y > < / a : K e y > < a : V a l u e   i : t y p e = " M e a s u r e G r i d N o d e V i e w S t a t e " > < C o l u m n > 2 0 < / C o l u m n > < L a y e d O u t > t r u e < / L a y e d O u t > < W a s U I I n v i s i b l e > t r u e < / W a s U I I n v i s i b l e > < / a : V a l u e > < / a : K e y V a l u e O f D i a g r a m O b j e c t K e y a n y T y p e z b w N T n L X > < a : K e y V a l u e O f D i a g r a m O b j e c t K e y a n y T y p e z b w N T n L X > < a : K e y > < K e y > M e a s u r e s \ S u m   o f   G A   e s c a l a t i o n   b e d s   a v a i l \ T a g I n f o \ F o r m u l a < / K e y > < / a : K e y > < a : V a l u e   i : t y p e = " M e a s u r e G r i d V i e w S t a t e I D i a g r a m T a g A d d i t i o n a l I n f o " / > < / a : K e y V a l u e O f D i a g r a m O b j e c t K e y a n y T y p e z b w N T n L X > < a : K e y V a l u e O f D i a g r a m O b j e c t K e y a n y T y p e z b w N T n L X > < a : K e y > < K e y > M e a s u r e s \ S u m   o f   G A   e s c a l a t i o n   b e d s   a v a i l \ T a g I n f o \ V a l u e < / K e y > < / a : K e y > < a : V a l u e   i : t y p e = " M e a s u r e G r i d V i e w S t a t e I D i a g r a m T a g A d d i t i o n a l I n f o " / > < / a : K e y V a l u e O f D i a g r a m O b j e c t K e y a n y T y p e z b w N T n L X > < a : K e y V a l u e O f D i a g r a m O b j e c t K e y a n y T y p e z b w N T n L X > < a : K e y > < K e y > M e a s u r e s \ S u m   o f   B e d s   o c c   o v e r   1 4   d a y s   2 < / K e y > < / a : K e y > < a : V a l u e   i : t y p e = " M e a s u r e G r i d N o d e V i e w S t a t e " > < C o l u m n > 4 1 < / C o l u m n > < L a y e d O u t > t r u e < / L a y e d O u t > < W a s U I I n v i s i b l e > t r u e < / W a s U I I n v i s i b l e > < / a : V a l u e > < / a : K e y V a l u e O f D i a g r a m O b j e c t K e y a n y T y p e z b w N T n L X > < a : K e y V a l u e O f D i a g r a m O b j e c t K e y a n y T y p e z b w N T n L X > < a : K e y > < K e y > M e a s u r e s \ S u m   o f   B e d s   o c c   o v e r   1 4   d a y s   2 \ T a g I n f o \ F o r m u l a < / K e y > < / a : K e y > < a : V a l u e   i : t y p e = " M e a s u r e G r i d V i e w S t a t e I D i a g r a m T a g A d d i t i o n a l I n f o " / > < / a : K e y V a l u e O f D i a g r a m O b j e c t K e y a n y T y p e z b w N T n L X > < a : K e y V a l u e O f D i a g r a m O b j e c t K e y a n y T y p e z b w N T n L X > < a : K e y > < K e y > M e a s u r e s \ S u m   o f   B e d s   o c c   o v e r   1 4   d a y s   2 \ T a g I n f o \ V a l u e < / K e y > < / a : K e y > < a : V a l u e   i : t y p e = " M e a s u r e G r i d V i e w S t a t e I D i a g r a m T a g A d d i t i o n a l I n f o " / > < / a : K e y V a l u e O f D i a g r a m O b j e c t K e y a n y T y p e z b w N T n L X > < a : K e y V a l u e O f D i a g r a m O b j e c t K e y a n y T y p e z b w N T n L X > < a : K e y > < K e y > M e a s u r e s \ S u m   o f   G A   f l u   b e d s < / K e y > < / a : K e y > < a : V a l u e   i : t y p e = " M e a s u r e G r i d N o d e V i e w S t a t e " > < C o l u m n > 4 2 < / C o l u m n > < L a y e d O u t > t r u e < / L a y e d O u t > < W a s U I I n v i s i b l e > t r u e < / W a s U I I n v i s i b l e > < / a : V a l u e > < / a : K e y V a l u e O f D i a g r a m O b j e c t K e y a n y T y p e z b w N T n L X > < a : K e y V a l u e O f D i a g r a m O b j e c t K e y a n y T y p e z b w N T n L X > < a : K e y > < K e y > M e a s u r e s \ S u m   o f   G A   f l u   b e d s \ T a g I n f o \ F o r m u l a < / K e y > < / a : K e y > < a : V a l u e   i : t y p e = " M e a s u r e G r i d V i e w S t a t e I D i a g r a m T a g A d d i t i o n a l I n f o " / > < / a : K e y V a l u e O f D i a g r a m O b j e c t K e y a n y T y p e z b w N T n L X > < a : K e y V a l u e O f D i a g r a m O b j e c t K e y a n y T y p e z b w N T n L X > < a : K e y > < K e y > M e a s u r e s \ S u m   o f   G A   f l u   b e d s \ T a g I n f o \ V a l u e < / K e y > < / a : K e y > < a : V a l u e   i : t y p e = " M e a s u r e G r i d V i e w S t a t e I D i a g r a m T a g A d d i t i o n a l I n f o " / > < / a : K e y V a l u e O f D i a g r a m O b j e c t K e y a n y T y p e z b w N T n L X > < a : K e y V a l u e O f D i a g r a m O b j e c t K e y a n y T y p e z b w N T n L X > < a : K e y > < K e y > M e a s u r e s \ S u m   o f   C C   f l u   b e d s < / K e y > < / a : K e y > < a : V a l u e   i : t y p e = " M e a s u r e G r i d N o d e V i e w S t a t e " > < C o l u m n > 4 3 < / C o l u m n > < L a y e d O u t > t r u e < / L a y e d O u t > < W a s U I I n v i s i b l e > t r u e < / W a s U I I n v i s i b l e > < / a : V a l u e > < / a : K e y V a l u e O f D i a g r a m O b j e c t K e y a n y T y p e z b w N T n L X > < a : K e y V a l u e O f D i a g r a m O b j e c t K e y a n y T y p e z b w N T n L X > < a : K e y > < K e y > M e a s u r e s \ S u m   o f   C C   f l u   b e d s \ T a g I n f o \ F o r m u l a < / K e y > < / a : K e y > < a : V a l u e   i : t y p e = " M e a s u r e G r i d V i e w S t a t e I D i a g r a m T a g A d d i t i o n a l I n f o " / > < / a : K e y V a l u e O f D i a g r a m O b j e c t K e y a n y T y p e z b w N T n L X > < a : K e y V a l u e O f D i a g r a m O b j e c t K e y a n y T y p e z b w N T n L X > < a : K e y > < K e y > M e a s u r e s \ S u m   o f   C C   f l u   b e d s \ T a g I n f o \ V a l u e < / K e y > < / a : K e y > < a : V a l u e   i : t y p e = " M e a s u r e G r i d V i e w S t a t e I D i a g r a m T a g A d d i t i o n a l I n f o " / > < / a : K e y V a l u e O f D i a g r a m O b j e c t K e y a n y T y p e z b w N T n L X > < a : K e y V a l u e O f D i a g r a m O b j e c t K e y a n y T y p e z b w N T n L X > < a : K e y > < K e y > M e a s u r e s \ S u m   o f   P a e d s   R S V   b e d s   c l o s e d < / K e y > < / a : K e y > < a : V a l u e   i : t y p e = " M e a s u r e G r i d N o d e V i e w S t a t e " > < C o l u m n > 4 4 < / C o l u m n > < L a y e d O u t > t r u e < / L a y e d O u t > < W a s U I I n v i s i b l e > t r u e < / W a s U I I n v i s i b l e > < / a : V a l u e > < / a : K e y V a l u e O f D i a g r a m O b j e c t K e y a n y T y p e z b w N T n L X > < a : K e y V a l u e O f D i a g r a m O b j e c t K e y a n y T y p e z b w N T n L X > < a : K e y > < K e y > M e a s u r e s \ S u m   o f   P a e d s   R S V   b e d s   c l o s e d \ T a g I n f o \ F o r m u l a < / K e y > < / a : K e y > < a : V a l u e   i : t y p e = " M e a s u r e G r i d V i e w S t a t e I D i a g r a m T a g A d d i t i o n a l I n f o " / > < / a : K e y V a l u e O f D i a g r a m O b j e c t K e y a n y T y p e z b w N T n L X > < a : K e y V a l u e O f D i a g r a m O b j e c t K e y a n y T y p e z b w N T n L X > < a : K e y > < K e y > M e a s u r e s \ S u m   o f   P a e d s   R S V   b e d s   c l o s e d \ T a g I n f o \ V a l u e < / K e y > < / a : K e y > < a : V a l u e   i : t y p e = " M e a s u r e G r i d V i e w S t a t e I D i a g r a m T a g A d d i t i o n a l I n f o " / > < / a : K e y V a l u e O f D i a g r a m O b j e c t K e y a n y T y p e z b w N T n L X > < a : K e y V a l u e O f D i a g r a m O b j e c t K e y a n y T y p e z b w N T n L X > < a : K e y > < K e y > M e a s u r e s \ S u m   o f   P a e d s   R S V   b e d s   c l o s e d   u n o c c < / K e y > < / a : K e y > < a : V a l u e   i : t y p e = " M e a s u r e G r i d N o d e V i e w S t a t e " > < C o l u m n > 4 5 < / C o l u m n > < L a y e d O u t > t r u e < / L a y e d O u t > < W a s U I I n v i s i b l e > t r u e < / W a s U I I n v i s i b l e > < / a : V a l u e > < / a : K e y V a l u e O f D i a g r a m O b j e c t K e y a n y T y p e z b w N T n L X > < a : K e y V a l u e O f D i a g r a m O b j e c t K e y a n y T y p e z b w N T n L X > < a : K e y > < K e y > M e a s u r e s \ S u m   o f   P a e d s   R S V   b e d s   c l o s e d   u n o c c \ T a g I n f o \ F o r m u l a < / K e y > < / a : K e y > < a : V a l u e   i : t y p e = " M e a s u r e G r i d V i e w S t a t e I D i a g r a m T a g A d d i t i o n a l I n f o " / > < / a : K e y V a l u e O f D i a g r a m O b j e c t K e y a n y T y p e z b w N T n L X > < a : K e y V a l u e O f D i a g r a m O b j e c t K e y a n y T y p e z b w N T n L X > < a : K e y > < K e y > M e a s u r e s \ S u m   o f   P a e d s   R S V   b e d s   c l o s e d   u n o c c \ T a g I n f o \ V a l u e < / K e y > < / a : K e y > < a : V a l u e   i : t y p e = " M e a s u r e G r i d V i e w S t a t e I D i a g r a m T a g A d d i t i o n a l I n f o " / > < / a : K e y V a l u e O f D i a g r a m O b j e c t K e y a n y T y p e z b w N T n L X > < a : K e y V a l u e O f D i a g r a m O b j e c t K e y a n y T y p e z b w N T n L X > < a : K e y > < K e y > C o l u m n s \ I D < / K e y > < / a : K e y > < a : V a l u e   i : t y p e = " M e a s u r e G r i d N o d e V i e w S t a t e " > < L a y e d O u t > t r u e < / L a y e d O u t > < / a : V a l u e > < / a : K e y V a l u e O f D i a g r a m O b j e c t K e y a n y T y p e z b w N T n L X > < a : K e y V a l u e O f D i a g r a m O b j e c t K e y a n y T y p e z b w N T n L X > < a : K e y > < K e y > C o l u m n s \ c r i _ i d < / K e y > < / a : K e y > < a : V a l u e   i : t y p e = " M e a s u r e G r i d N o d e V i e w S t a t e " > < C o l u m n > 1 < / C o l u m n > < L a y e d O u t > t r u e < / L a y e d O u t > < / a : V a l u e > < / a : K e y V a l u e O f D i a g r a m O b j e c t K e y a n y T y p e z b w N T n L X > < a : K e y V a l u e O f D i a g r a m O b j e c t K e y a n y T y p e z b w N T n L X > < a : K e y > < K e y > C o l u m n s \ d r _ i d < / K e y > < / a : K e y > < a : V a l u e   i : t y p e = " M e a s u r e G r i d N o d e V i e w S t a t e " > < C o l u m n > 2 < / C o l u m n > < L a y e d O u t > t r u e < / L a y e d O u t > < / a : V a l u e > < / a : K e y V a l u e O f D i a g r a m O b j e c t K e y a n y T y p e z b w N T n L X > < a : K e y V a l u e O f D i a g r a m O b j e c t K e y a n y T y p e z b w N T n L X > < a : K e y > < K e y > C o l u m n s \ o r g _ i d < / K e y > < / a : K e y > < a : V a l u e   i : t y p e = " M e a s u r e G r i d N o d e V i e w S t a t e " > < C o l u m n > 3 < / C o l u m n > < L a y e d O u t > t r u e < / L a y e d O u t > < / a : V a l u e > < / a : K e y V a l u e O f D i a g r a m O b j e c t K e y a n y T y p e z b w N T n L X > < a : K e y V a l u e O f D i a g r a m O b j e c t K e y a n y T y p e z b w N T n L X > < a : K e y > < K e y > C o l u m n s \ c r i _ d a t a p e r i o d s t a r t < / K e y > < / a : K e y > < a : V a l u e   i : t y p e = " M e a s u r e G r i d N o d e V i e w S t a t e " > < C o l u m n > 4 < / C o l u m n > < L a y e d O u t > t r u e < / L a y e d O u t > < / a : V a l u e > < / a : K e y V a l u e O f D i a g r a m O b j e c t K e y a n y T y p e z b w N T n L X > < a : K e y V a l u e O f D i a g r a m O b j e c t K e y a n y T y p e z b w N T n L X > < a : K e y > < K e y > C o l u m n s \ C o d e < / K e y > < / a : K e y > < a : V a l u e   i : t y p e = " M e a s u r e G r i d N o d e V i e w S t a t e " > < C o l u m n > 5 < / C o l u m n > < L a y e d O u t > t r u e < / L a y e d O u t > < / a : V a l u e > < / a : K e y V a l u e O f D i a g r a m O b j e c t K e y a n y T y p e z b w N T n L X > < a : K e y V a l u e O f D i a g r a m O b j e c t K e y a n y T y p e z b w N T n L X > < a : K e y > < K e y > C o l u m n s \ N a m e < / K e y > < / a : K e y > < a : V a l u e   i : t y p e = " M e a s u r e G r i d N o d e V i e w S t a t e " > < C o l u m n > 6 < / C o l u m n > < L a y e d O u t > t r u e < / L a y e d O u t > < / a : V a l u e > < / a : K e y V a l u e O f D i a g r a m O b j e c t K e y a n y T y p e z b w N T n L X > < a : K e y V a l u e O f D i a g r a m O b j e c t K e y a n y T y p e z b w N T n L X > < a : K e y > < K e y > C o l u m n s \ D a t e < / K e y > < / a : K e y > < a : V a l u e   i : t y p e = " M e a s u r e G r i d N o d e V i e w S t a t e " > < C o l u m n > 7 < / C o l u m n > < L a y e d O u t > t r u e < / L a y e d O u t > < / a : V a l u e > < / a : K e y V a l u e O f D i a g r a m O b j e c t K e y a n y T y p e z b w N T n L X > < a : K e y V a l u e O f D i a g r a m O b j e c t K e y a n y T y p e z b w N T n L X > < a : K e y > < K e y > C o l u m n s \ W e e k < / K e y > < / a : K e y > < a : V a l u e   i : t y p e = " M e a s u r e G r i d N o d e V i e w S t a t e " > < C o l u m n > 8 < / C o l u m n > < L a y e d O u t > t r u e < / L a y e d O u t > < / a : V a l u e > < / a : K e y V a l u e O f D i a g r a m O b j e c t K e y a n y T y p e z b w N T n L X > < a : K e y V a l u e O f D i a g r a m O b j e c t K e y a n y T y p e z b w N T n L X > < a : K e y > < K e y > C o l u m n s \ D a y < / K e y > < / a : K e y > < a : V a l u e   i : t y p e = " M e a s u r e G r i d N o d e V i e w S t a t e " > < C o l u m n > 1 0 < / C o l u m n > < L a y e d O u t > t r u e < / L a y e d O u t > < / a : V a l u e > < / a : K e y V a l u e O f D i a g r a m O b j e c t K e y a n y T y p e z b w N T n L X > < a : K e y V a l u e O f D i a g r a m O b j e c t K e y a n y T y p e z b w N T n L X > < a : K e y > < K e y > C o l u m n s \ B a n k   h o l i d a y < / K e y > < / a : K e y > < a : V a l u e   i : t y p e = " M e a s u r e G r i d N o d e V i e w S t a t e " > < C o l u m n > 1 1 < / C o l u m n > < L a y e d O u t > t r u e < / L a y e d O u t > < / a : V a l u e > < / a : K e y V a l u e O f D i a g r a m O b j e c t K e y a n y T y p e z b w N T n L X > < a : K e y V a l u e O f D i a g r a m O b j e c t K e y a n y T y p e z b w N T n L X > < a : K e y > < K e y > C o l u m n s \ A E   c l o s u r e s < / K e y > < / a : K e y > < a : V a l u e   i : t y p e = " M e a s u r e G r i d N o d e V i e w S t a t e " > < C o l u m n > 1 2 < / C o l u m n > < L a y e d O u t > t r u e < / L a y e d O u t > < / a : V a l u e > < / a : K e y V a l u e O f D i a g r a m O b j e c t K e y a n y T y p e z b w N T n L X > < a : K e y V a l u e O f D i a g r a m O b j e c t K e y a n y T y p e z b w N T n L X > < a : K e y > < K e y > C o l u m n s \ A E   d i v e r t s < / K e y > < / a : K e y > < a : V a l u e   i : t y p e = " M e a s u r e G r i d N o d e V i e w S t a t e " > < C o l u m n > 1 3 < / C o l u m n > < L a y e d O u t > t r u e < / L a y e d O u t > < / a : V a l u e > < / a : K e y V a l u e O f D i a g r a m O b j e c t K e y a n y T y p e z b w N T n L X > < a : K e y V a l u e O f D i a g r a m O b j e c t K e y a n y T y p e z b w N T n L X > < a : K e y > < K e y > C o l u m n s \ A E   t y p e   1   a t t e n d a n c e s < / K e y > < / a : K e y > < a : V a l u e   i : t y p e = " M e a s u r e G r i d N o d e V i e w S t a t e " > < C o l u m n > 1 4 < / C o l u m n > < L a y e d O u t > t r u e < / L a y e d O u t > < / a : V a l u e > < / a : K e y V a l u e O f D i a g r a m O b j e c t K e y a n y T y p e z b w N T n L X > < a : K e y V a l u e O f D i a g r a m O b j e c t K e y a n y T y p e z b w N T n L X > < a : K e y > < K e y > C o l u m n s \ A E   t y p e   2   a t t e n d a n c e s < / K e y > < / a : K e y > < a : V a l u e   i : t y p e = " M e a s u r e G r i d N o d e V i e w S t a t e " > < C o l u m n > 1 5 < / C o l u m n > < L a y e d O u t > t r u e < / L a y e d O u t > < / a : V a l u e > < / a : K e y V a l u e O f D i a g r a m O b j e c t K e y a n y T y p e z b w N T n L X > < a : K e y V a l u e O f D i a g r a m O b j e c t K e y a n y T y p e z b w N T n L X > < a : K e y > < K e y > C o l u m n s \ A E   t y p e   3   a t t e n d a n c e s < / K e y > < / a : K e y > < a : V a l u e   i : t y p e = " M e a s u r e G r i d N o d e V i e w S t a t e " > < C o l u m n > 1 6 < / C o l u m n > < L a y e d O u t > t r u e < / L a y e d O u t > < / a : V a l u e > < / a : K e y V a l u e O f D i a g r a m O b j e c t K e y a n y T y p e z b w N T n L X > < a : K e y V a l u e O f D i a g r a m O b j e c t K e y a n y T y p e z b w N T n L X > < a : K e y > < K e y > C o l u m n s \ A E   t o t a l   a t t e n d a n c e s < / K e y > < / a : K e y > < a : V a l u e   i : t y p e = " M e a s u r e G r i d N o d e V i e w S t a t e " > < C o l u m n > 1 7 < / C o l u m n > < L a y e d O u t > t r u e < / L a y e d O u t > < / a : V a l u e > < / a : K e y V a l u e O f D i a g r a m O b j e c t K e y a n y T y p e z b w N T n L X > < a : K e y V a l u e O f D i a g r a m O b j e c t K e y a n y T y p e z b w N T n L X > < a : K e y > < K e y > C o l u m n s \ E m e r g e n c y   a d m i s s i o n s < / K e y > < / a : K e y > < a : V a l u e   i : t y p e = " M e a s u r e G r i d N o d e V i e w S t a t e " > < C o l u m n > 1 8 < / C o l u m n > < L a y e d O u t > t r u e < / L a y e d O u t > < / a : V a l u e > < / a : K e y V a l u e O f D i a g r a m O b j e c t K e y a n y T y p e z b w N T n L X > < a : K e y V a l u e O f D i a g r a m O b j e c t K e y a n y T y p e z b w N T n L X > < a : K e y > < K e y > C o l u m n s \ G A   c o r e   b e d s   a v a i l < / K e y > < / a : K e y > < a : V a l u e   i : t y p e = " M e a s u r e G r i d N o d e V i e w S t a t e " > < C o l u m n > 1 9 < / C o l u m n > < L a y e d O u t > t r u e < / L a y e d O u t > < / a : V a l u e > < / a : K e y V a l u e O f D i a g r a m O b j e c t K e y a n y T y p e z b w N T n L X > < a : K e y V a l u e O f D i a g r a m O b j e c t K e y a n y T y p e z b w N T n L X > < a : K e y > < K e y > C o l u m n s \ G A   e s c a l a t i o n   b e d s   a v a i l < / K e y > < / a : K e y > < a : V a l u e   i : t y p e = " M e a s u r e G r i d N o d e V i e w S t a t e " > < C o l u m n > 2 0 < / C o l u m n > < L a y e d O u t > t r u e < / L a y e d O u t > < / a : V a l u e > < / a : K e y V a l u e O f D i a g r a m O b j e c t K e y a n y T y p e z b w N T n L X > < a : K e y V a l u e O f D i a g r a m O b j e c t K e y a n y T y p e z b w N T n L X > < a : K e y > < K e y > C o l u m n s \ G A   t o t a l   b e d s   a v a i l < / K e y > < / a : K e y > < a : V a l u e   i : t y p e = " M e a s u r e G r i d N o d e V i e w S t a t e " > < C o l u m n > 2 1 < / C o l u m n > < L a y e d O u t > t r u e < / L a y e d O u t > < / a : V a l u e > < / a : K e y V a l u e O f D i a g r a m O b j e c t K e y a n y T y p e z b w N T n L X > < a : K e y V a l u e O f D i a g r a m O b j e c t K e y a n y T y p e z b w N T n L X > < a : K e y > < K e y > C o l u m n s \ G A   t o t a l   b e d s   o c c u p i e d < / K e y > < / a : K e y > < a : V a l u e   i : t y p e = " M e a s u r e G r i d N o d e V i e w S t a t e " > < C o l u m n > 2 2 < / C o l u m n > < L a y e d O u t > t r u e < / L a y e d O u t > < / a : V a l u e > < / a : K e y V a l u e O f D i a g r a m O b j e c t K e y a n y T y p e z b w N T n L X > < a : K e y V a l u e O f D i a g r a m O b j e c t K e y a n y T y p e z b w N T n L X > < a : K e y > < K e y > C o l u m n s \ B e d s   c l o s e d   n o r o v i r u s < / K e y > < / a : K e y > < a : V a l u e   i : t y p e = " M e a s u r e G r i d N o d e V i e w S t a t e " > < C o l u m n > 2 4 < / C o l u m n > < L a y e d O u t > t r u e < / L a y e d O u t > < / a : V a l u e > < / a : K e y V a l u e O f D i a g r a m O b j e c t K e y a n y T y p e z b w N T n L X > < a : K e y V a l u e O f D i a g r a m O b j e c t K e y a n y T y p e z b w N T n L X > < a : K e y > < K e y > C o l u m n s \ B e d s   c l o s e d   n o r o v i u s   u n o c c < / K e y > < / a : K e y > < a : V a l u e   i : t y p e = " M e a s u r e G r i d N o d e V i e w S t a t e " > < C o l u m n > 2 5 < / C o l u m n > < L a y e d O u t > t r u e < / L a y e d O u t > < / a : V a l u e > < / a : K e y V a l u e O f D i a g r a m O b j e c t K e y a n y T y p e z b w N T n L X > < a : K e y V a l u e O f D i a g r a m O b j e c t K e y a n y T y p e z b w N T n L X > < a : K e y > < K e y > C o l u m n s \ A d u l t   C C   b e d s   a v a i l < / K e y > < / a : K e y > < a : V a l u e   i : t y p e = " M e a s u r e G r i d N o d e V i e w S t a t e " > < C o l u m n > 2 6 < / C o l u m n > < L a y e d O u t > t r u e < / L a y e d O u t > < / a : V a l u e > < / a : K e y V a l u e O f D i a g r a m O b j e c t K e y a n y T y p e z b w N T n L X > < a : K e y V a l u e O f D i a g r a m O b j e c t K e y a n y T y p e z b w N T n L X > < a : K e y > < K e y > C o l u m n s \ A d u l t   C C   b e d s   o c c < / K e y > < / a : K e y > < a : V a l u e   i : t y p e = " M e a s u r e G r i d N o d e V i e w S t a t e " > < C o l u m n > 2 7 < / C o l u m n > < L a y e d O u t > t r u e < / L a y e d O u t > < / a : V a l u e > < / a : K e y V a l u e O f D i a g r a m O b j e c t K e y a n y T y p e z b w N T n L X > < a : K e y V a l u e O f D i a g r a m O b j e c t K e y a n y T y p e z b w N T n L X > < a : K e y > < K e y > C o l u m n s \ P a e d   I n t   C a r e   A v a i l < / K e y > < / a : K e y > < a : V a l u e   i : t y p e = " M e a s u r e G r i d N o d e V i e w S t a t e " > < C o l u m n > 2 8 < / C o l u m n > < L a y e d O u t > t r u e < / L a y e d O u t > < / a : V a l u e > < / a : K e y V a l u e O f D i a g r a m O b j e c t K e y a n y T y p e z b w N T n L X > < a : K e y V a l u e O f D i a g r a m O b j e c t K e y a n y T y p e z b w N T n L X > < a : K e y > < K e y > C o l u m n s \ P a e d   I n t   C a r e   O c c < / K e y > < / a : K e y > < a : V a l u e   i : t y p e = " M e a s u r e G r i d N o d e V i e w S t a t e " > < C o l u m n > 2 9 < / C o l u m n > < L a y e d O u t > t r u e < / L a y e d O u t > < / a : V a l u e > < / a : K e y V a l u e O f D i a g r a m O b j e c t K e y a n y T y p e z b w N T n L X > < a : K e y V a l u e O f D i a g r a m O b j e c t K e y a n y T y p e z b w N T n L X > < a : K e y > < K e y > C o l u m n s \ N e o   I n t   C a r e   A v a i l < / K e y > < / a : K e y > < a : V a l u e   i : t y p e = " M e a s u r e G r i d N o d e V i e w S t a t e " > < C o l u m n > 3 0 < / C o l u m n > < L a y e d O u t > t r u e < / L a y e d O u t > < / a : V a l u e > < / a : K e y V a l u e O f D i a g r a m O b j e c t K e y a n y T y p e z b w N T n L X > < a : K e y V a l u e O f D i a g r a m O b j e c t K e y a n y T y p e z b w N T n L X > < a : K e y > < K e y > C o l u m n s \ N e o   I n t   C a r e   o c c < / K e y > < / a : K e y > < a : V a l u e   i : t y p e = " M e a s u r e G r i d N o d e V i e w S t a t e " > < C o l u m n > 3 1 < / C o l u m n > < L a y e d O u t > t r u e < / L a y e d O u t > < / a : V a l u e > < / a : K e y V a l u e O f D i a g r a m O b j e c t K e y a n y T y p e z b w N T n L X > < a : K e y V a l u e O f D i a g r a m O b j e c t K e y a n y T y p e z b w N T n L X > < a : K e y > < K e y > C o l u m n s \ O P E L   3   o r   a b o v e < / K e y > < / a : K e y > < a : V a l u e   i : t y p e = " M e a s u r e G r i d N o d e V i e w S t a t e " > < C o l u m n > 3 2 < / C o l u m n > < L a y e d O u t > t r u e < / L a y e d O u t > < / a : V a l u e > < / a : K e y V a l u e O f D i a g r a m O b j e c t K e y a n y T y p e z b w N T n L X > < a : K e y V a l u e O f D i a g r a m O b j e c t K e y a n y T y p e z b w N T n L X > < a : K e y > < K e y > C o l u m n s \ W e e k e n d < / K e y > < / a : K e y > < a : V a l u e   i : t y p e = " M e a s u r e G r i d N o d e V i e w S t a t e " > < C o l u m n > 3 3 < / C o l u m n > < L a y e d O u t > t r u e < / L a y e d O u t > < / a : V a l u e > < / a : K e y V a l u e O f D i a g r a m O b j e c t K e y a n y T y p e z b w N T n L X > < a : K e y V a l u e O f D i a g r a m O b j e c t K e y a n y T y p e z b w N T n L X > < a : K e y > < K e y > C o l u m n s \ R e g i o n < / K e y > < / a : K e y > < a : V a l u e   i : t y p e = " M e a s u r e G r i d N o d e V i e w S t a t e " > < C o l u m n > 3 4 < / C o l u m n > < L a y e d O u t > t r u e < / L a y e d O u t > < / a : V a l u e > < / a : K e y V a l u e O f D i a g r a m O b j e c t K e y a n y T y p e z b w N T n L X > < a : K e y V a l u e O f D i a g r a m O b j e c t K e y a n y T y p e z b w N T n L X > < a : K e y > < K e y > C o l u m n s \ Y e a r < / K e y > < / a : K e y > < a : V a l u e   i : t y p e = " M e a s u r e G r i d N o d e V i e w S t a t e " > < C o l u m n > 3 5 < / C o l u m n > < L a y e d O u t > t r u e < / L a y e d O u t > < / a : V a l u e > < / a : K e y V a l u e O f D i a g r a m O b j e c t K e y a n y T y p e z b w N T n L X > < a : K e y V a l u e O f D i a g r a m O b j e c t K e y a n y T y p e z b w N T n L X > < a : K e y > < K e y > C o l u m n s \ B e d s   o c c   o v e r   7   d a y s < / K e y > < / a : K e y > < a : V a l u e   i : t y p e = " M e a s u r e G r i d N o d e V i e w S t a t e " > < C o l u m n > 3 6 < / C o l u m n > < L a y e d O u t > t r u e < / L a y e d O u t > < / a : V a l u e > < / a : K e y V a l u e O f D i a g r a m O b j e c t K e y a n y T y p e z b w N T n L X > < a : K e y V a l u e O f D i a g r a m O b j e c t K e y a n y T y p e z b w N T n L X > < a : K e y > < K e y > C o l u m n s \ B e d s   o c c   o v e r   2 1   d a y s < / K e y > < / a : K e y > < a : V a l u e   i : t y p e = " M e a s u r e G r i d N o d e V i e w S t a t e " > < C o l u m n > 3 7 < / C o l u m n > < L a y e d O u t > t r u e < / L a y e d O u t > < / a : V a l u e > < / a : K e y V a l u e O f D i a g r a m O b j e c t K e y a n y T y p e z b w N T n L X > < a : K e y V a l u e O f D i a g r a m O b j e c t K e y a n y T y p e z b w N T n L X > < a : K e y > < K e y > C o l u m n s \ A m b   a r r i v a l s < / K e y > < / a : K e y > < a : V a l u e   i : t y p e = " M e a s u r e G r i d N o d e V i e w S t a t e " > < C o l u m n > 3 8 < / C o l u m n > < L a y e d O u t > t r u e < / L a y e d O u t > < / a : V a l u e > < / a : K e y V a l u e O f D i a g r a m O b j e c t K e y a n y T y p e z b w N T n L X > < a : K e y V a l u e O f D i a g r a m O b j e c t K e y a n y T y p e z b w N T n L X > < a : K e y > < K e y > C o l u m n s \ A m b   d e l a y s   3 0 - 6 0   m i n s < / K e y > < / a : K e y > < a : V a l u e   i : t y p e = " M e a s u r e G r i d N o d e V i e w S t a t e " > < C o l u m n > 3 9 < / C o l u m n > < L a y e d O u t > t r u e < / L a y e d O u t > < / a : V a l u e > < / a : K e y V a l u e O f D i a g r a m O b j e c t K e y a n y T y p e z b w N T n L X > < a : K e y V a l u e O f D i a g r a m O b j e c t K e y a n y T y p e z b w N T n L X > < a : K e y > < K e y > C o l u m n s \ A m b   d e l a y s   o v e r   6 0   m i n s < / K e y > < / a : K e y > < a : V a l u e   i : t y p e = " M e a s u r e G r i d N o d e V i e w S t a t e " > < C o l u m n > 4 0 < / C o l u m n > < L a y e d O u t > t r u e < / L a y e d O u t > < / a : V a l u e > < / a : K e y V a l u e O f D i a g r a m O b j e c t K e y a n y T y p e z b w N T n L X > < a : K e y V a l u e O f D i a g r a m O b j e c t K e y a n y T y p e z b w N T n L X > < a : K e y > < K e y > C o l u m n s \ W e e k   l o n g < / K e y > < / a : K e y > < a : V a l u e   i : t y p e = " M e a s u r e G r i d N o d e V i e w S t a t e " > < C o l u m n > 9 < / C o l u m n > < L a y e d O u t > t r u e < / L a y e d O u t > < / a : V a l u e > < / a : K e y V a l u e O f D i a g r a m O b j e c t K e y a n y T y p e z b w N T n L X > < a : K e y V a l u e O f D i a g r a m O b j e c t K e y a n y T y p e z b w N T n L X > < a : K e y > < K e y > C o l u m n s \ G A   b e d   o c c u p a n c y < / K e y > < / a : K e y > < a : V a l u e   i : t y p e = " M e a s u r e G r i d N o d e V i e w S t a t e " > < C o l u m n > 2 3 < / C o l u m n > < L a y e d O u t > t r u e < / L a y e d O u t > < / a : V a l u e > < / a : K e y V a l u e O f D i a g r a m O b j e c t K e y a n y T y p e z b w N T n L X > < a : K e y V a l u e O f D i a g r a m O b j e c t K e y a n y T y p e z b w N T n L X > < a : K e y > < K e y > C o l u m n s \ B e d s   o c c   o v e r   1 4   d a y s < / K e y > < / a : K e y > < a : V a l u e   i : t y p e = " M e a s u r e G r i d N o d e V i e w S t a t e " > < C o l u m n > 4 1 < / C o l u m n > < L a y e d O u t > t r u e < / L a y e d O u t > < / a : V a l u e > < / a : K e y V a l u e O f D i a g r a m O b j e c t K e y a n y T y p e z b w N T n L X > < a : K e y V a l u e O f D i a g r a m O b j e c t K e y a n y T y p e z b w N T n L X > < a : K e y > < K e y > C o l u m n s \ G A   f l u   b e d s < / K e y > < / a : K e y > < a : V a l u e   i : t y p e = " M e a s u r e G r i d N o d e V i e w S t a t e " > < C o l u m n > 4 2 < / C o l u m n > < L a y e d O u t > t r u e < / L a y e d O u t > < / a : V a l u e > < / a : K e y V a l u e O f D i a g r a m O b j e c t K e y a n y T y p e z b w N T n L X > < a : K e y V a l u e O f D i a g r a m O b j e c t K e y a n y T y p e z b w N T n L X > < a : K e y > < K e y > C o l u m n s \ C C   f l u   b e d s < / K e y > < / a : K e y > < a : V a l u e   i : t y p e = " M e a s u r e G r i d N o d e V i e w S t a t e " > < C o l u m n > 4 3 < / C o l u m n > < L a y e d O u t > t r u e < / L a y e d O u t > < / a : V a l u e > < / a : K e y V a l u e O f D i a g r a m O b j e c t K e y a n y T y p e z b w N T n L X > < a : K e y V a l u e O f D i a g r a m O b j e c t K e y a n y T y p e z b w N T n L X > < a : K e y > < K e y > C o l u m n s \ P a e d s   R S V   b e d s   c l o s e d < / K e y > < / a : K e y > < a : V a l u e   i : t y p e = " M e a s u r e G r i d N o d e V i e w S t a t e " > < C o l u m n > 4 4 < / C o l u m n > < L a y e d O u t > t r u e < / L a y e d O u t > < / a : V a l u e > < / a : K e y V a l u e O f D i a g r a m O b j e c t K e y a n y T y p e z b w N T n L X > < a : K e y V a l u e O f D i a g r a m O b j e c t K e y a n y T y p e z b w N T n L X > < a : K e y > < K e y > C o l u m n s \ P a e d s   R S V   b e d s   c l o s e d   u n o c c < / K e y > < / a : K e y > < a : V a l u e   i : t y p e = " M e a s u r e G r i d N o d e V i e w S t a t e " > < C o l u m n > 4 5 < / C o l u m n > < L a y e d O u t > t r u e < / L a y e d O u t > < / a : V a l u e > < / a : K e y V a l u e O f D i a g r a m O b j e c t K e y a n y T y p e z b w N T n L X > < a : K e y V a l u e O f D i a g r a m O b j e c t K e y a n y T y p e z b w N T n L X > < a : K e y > < K e y > L i n k s \ & l t ; C o l u m n s \ S u m   o f   A E   d i v e r t s & g t ; - & l t ; M e a s u r e s \ A E   d i v e r t s & g t ; < / K e y > < / a : K e y > < a : V a l u e   i : t y p e = " M e a s u r e G r i d V i e w S t a t e I D i a g r a m L i n k " / > < / a : K e y V a l u e O f D i a g r a m O b j e c t K e y a n y T y p e z b w N T n L X > < a : K e y V a l u e O f D i a g r a m O b j e c t K e y a n y T y p e z b w N T n L X > < a : K e y > < K e y > L i n k s \ & l t ; C o l u m n s \ S u m   o f   A E   d i v e r t s & g t ; - & l t ; M e a s u r e s \ A E   d i v e r t s & g t ; \ C O L U M N < / K e y > < / a : K e y > < a : V a l u e   i : t y p e = " M e a s u r e G r i d V i e w S t a t e I D i a g r a m L i n k E n d p o i n t " / > < / a : K e y V a l u e O f D i a g r a m O b j e c t K e y a n y T y p e z b w N T n L X > < a : K e y V a l u e O f D i a g r a m O b j e c t K e y a n y T y p e z b w N T n L X > < a : K e y > < K e y > L i n k s \ & l t ; C o l u m n s \ S u m   o f   A E   d i v e r t s & g t ; - & l t ; M e a s u r e s \ A E   d i v e r t s & g t ; \ M E A S U R E < / K e y > < / a : K e y > < a : V a l u e   i : t y p e = " M e a s u r e G r i d V i e w S t a t e I D i a g r a m L i n k E n d p o i n t " / > < / a : K e y V a l u e O f D i a g r a m O b j e c t K e y a n y T y p e z b w N T n L X > < a : K e y V a l u e O f D i a g r a m O b j e c t K e y a n y T y p e z b w N T n L X > < a : K e y > < K e y > L i n k s \ & l t ; C o l u m n s \ S u m   o f   G A   t o t a l   b e d s   o c c u p i e d & g t ; - & l t ; M e a s u r e s \ G A   t o t a l   b e d s   o c c u p i e d & g t ; < / K e y > < / a : K e y > < a : V a l u e   i : t y p e = " M e a s u r e G r i d V i e w S t a t e I D i a g r a m L i n k " / > < / a : K e y V a l u e O f D i a g r a m O b j e c t K e y a n y T y p e z b w N T n L X > < a : K e y V a l u e O f D i a g r a m O b j e c t K e y a n y T y p e z b w N T n L X > < a : K e y > < K e y > L i n k s \ & l t ; C o l u m n s \ S u m   o f   G A   t o t a l   b e d s   o c c u p i e d & g t ; - & l t ; M e a s u r e s \ G A   t o t a l   b e d s   o c c u p i e d & g t ; \ C O L U M N < / K e y > < / a : K e y > < a : V a l u e   i : t y p e = " M e a s u r e G r i d V i e w S t a t e I D i a g r a m L i n k E n d p o i n t " / > < / a : K e y V a l u e O f D i a g r a m O b j e c t K e y a n y T y p e z b w N T n L X > < a : K e y V a l u e O f D i a g r a m O b j e c t K e y a n y T y p e z b w N T n L X > < a : K e y > < K e y > L i n k s \ & l t ; C o l u m n s \ S u m   o f   G A   t o t a l   b e d s   o c c u p i e d & g t ; - & l t ; M e a s u r e s \ G A   t o t a l   b e d s   o c c u p i e d & g t ; \ M E A S U R E < / K e y > < / a : K e y > < a : V a l u e   i : t y p e = " M e a s u r e G r i d V i e w S t a t e I D i a g r a m L i n k E n d p o i n t " / > < / a : K e y V a l u e O f D i a g r a m O b j e c t K e y a n y T y p e z b w N T n L X > < a : K e y V a l u e O f D i a g r a m O b j e c t K e y a n y T y p e z b w N T n L X > < a : K e y > < K e y > L i n k s \ & l t ; C o l u m n s \ A v e r a g e   o f   G A   t o t a l   b e d s   o c c u p i e d & g t ; - & l t ; M e a s u r e s \ G A   t o t a l   b e d s   o c c u p i e d & g t ; < / K e y > < / a : K e y > < a : V a l u e   i : t y p e = " M e a s u r e G r i d V i e w S t a t e I D i a g r a m L i n k " / > < / a : K e y V a l u e O f D i a g r a m O b j e c t K e y a n y T y p e z b w N T n L X > < a : K e y V a l u e O f D i a g r a m O b j e c t K e y a n y T y p e z b w N T n L X > < a : K e y > < K e y > L i n k s \ & l t ; C o l u m n s \ A v e r a g e   o f   G A   t o t a l   b e d s   o c c u p i e d & g t ; - & l t ; M e a s u r e s \ G A   t o t a l   b e d s   o c c u p i e d & g t ; \ C O L U M N < / K e y > < / a : K e y > < a : V a l u e   i : t y p e = " M e a s u r e G r i d V i e w S t a t e I D i a g r a m L i n k E n d p o i n t " / > < / a : K e y V a l u e O f D i a g r a m O b j e c t K e y a n y T y p e z b w N T n L X > < a : K e y V a l u e O f D i a g r a m O b j e c t K e y a n y T y p e z b w N T n L X > < a : K e y > < K e y > L i n k s \ & l t ; C o l u m n s \ A v e r a g e   o f   G A   t o t a l   b e d s   o c c u p i e d & g t ; - & l t ; M e a s u r e s \ G A   t o t a l   b e d s   o c c u p i e d & g t ; \ M E A S U R E < / K e y > < / a : K e y > < a : V a l u e   i : t y p e = " M e a s u r e G r i d V i e w S t a t e I D i a g r a m L i n k E n d p o i n t " / > < / a : K e y V a l u e O f D i a g r a m O b j e c t K e y a n y T y p e z b w N T n L X > < a : K e y V a l u e O f D i a g r a m O b j e c t K e y a n y T y p e z b w N T n L X > < a : K e y > < K e y > L i n k s \ & l t ; C o l u m n s \ S u m   o f   G A   t o t a l   b e d s   a v a i l & g t ; - & l t ; M e a s u r e s \ G A   t o t a l   b e d s   a v a i l & g t ; < / K e y > < / a : K e y > < a : V a l u e   i : t y p e = " M e a s u r e G r i d V i e w S t a t e I D i a g r a m L i n k " / > < / a : K e y V a l u e O f D i a g r a m O b j e c t K e y a n y T y p e z b w N T n L X > < a : K e y V a l u e O f D i a g r a m O b j e c t K e y a n y T y p e z b w N T n L X > < a : K e y > < K e y > L i n k s \ & l t ; C o l u m n s \ S u m   o f   G A   t o t a l   b e d s   a v a i l & g t ; - & l t ; M e a s u r e s \ G A   t o t a l   b e d s   a v a i l & g t ; \ C O L U M N < / K e y > < / a : K e y > < a : V a l u e   i : t y p e = " M e a s u r e G r i d V i e w S t a t e I D i a g r a m L i n k E n d p o i n t " / > < / a : K e y V a l u e O f D i a g r a m O b j e c t K e y a n y T y p e z b w N T n L X > < a : K e y V a l u e O f D i a g r a m O b j e c t K e y a n y T y p e z b w N T n L X > < a : K e y > < K e y > L i n k s \ & l t ; C o l u m n s \ S u m   o f   G A   t o t a l   b e d s   a v a i l & g t ; - & l t ; M e a s u r e s \ G A   t o t a l   b e d s   a v a i l & g t ; \ M E A S U R E < / K e y > < / a : K e y > < a : V a l u e   i : t y p e = " M e a s u r e G r i d V i e w S t a t e I D i a g r a m L i n k E n d p o i n t " / > < / a : K e y V a l u e O f D i a g r a m O b j e c t K e y a n y T y p e z b w N T n L X > < a : K e y V a l u e O f D i a g r a m O b j e c t K e y a n y T y p e z b w N T n L X > < a : K e y > < K e y > L i n k s \ & l t ; C o l u m n s \ S u m   o f   B e d s   o c c   o v e r   7   d a y s & g t ; - & l t ; M e a s u r e s \ B e d s   o c c   o v e r   7   d a y s & g t ; < / K e y > < / a : K e y > < a : V a l u e   i : t y p e = " M e a s u r e G r i d V i e w S t a t e I D i a g r a m L i n k " / > < / a : K e y V a l u e O f D i a g r a m O b j e c t K e y a n y T y p e z b w N T n L X > < a : K e y V a l u e O f D i a g r a m O b j e c t K e y a n y T y p e z b w N T n L X > < a : K e y > < K e y > L i n k s \ & l t ; C o l u m n s \ S u m   o f   B e d s   o c c   o v e r   7   d a y s & g t ; - & l t ; M e a s u r e s \ B e d s   o c c   o v e r   7   d a y s & g t ; \ C O L U M N < / K e y > < / a : K e y > < a : V a l u e   i : t y p e = " M e a s u r e G r i d V i e w S t a t e I D i a g r a m L i n k E n d p o i n t " / > < / a : K e y V a l u e O f D i a g r a m O b j e c t K e y a n y T y p e z b w N T n L X > < a : K e y V a l u e O f D i a g r a m O b j e c t K e y a n y T y p e z b w N T n L X > < a : K e y > < K e y > L i n k s \ & l t ; C o l u m n s \ S u m   o f   B e d s   o c c   o v e r   7   d a y s & g t ; - & l t ; M e a s u r e s \ B e d s   o c c   o v e r   7   d a y s & g t ; \ M E A S U R E < / K e y > < / a : K e y > < a : V a l u e   i : t y p e = " M e a s u r e G r i d V i e w S t a t e I D i a g r a m L i n k E n d p o i n t " / > < / a : K e y V a l u e O f D i a g r a m O b j e c t K e y a n y T y p e z b w N T n L X > < a : K e y V a l u e O f D i a g r a m O b j e c t K e y a n y T y p e z b w N T n L X > < a : K e y > < K e y > L i n k s \ & l t ; C o l u m n s \ S u m   o f   B e d s   o c c   o v e r   2 1   d a y s & g t ; - & l t ; M e a s u r e s \ B e d s   o c c   o v e r   2 1   d a y s & g t ; < / K e y > < / a : K e y > < a : V a l u e   i : t y p e = " M e a s u r e G r i d V i e w S t a t e I D i a g r a m L i n k " / > < / a : K e y V a l u e O f D i a g r a m O b j e c t K e y a n y T y p e z b w N T n L X > < a : K e y V a l u e O f D i a g r a m O b j e c t K e y a n y T y p e z b w N T n L X > < a : K e y > < K e y > L i n k s \ & l t ; C o l u m n s \ S u m   o f   B e d s   o c c   o v e r   2 1   d a y s & g t ; - & l t ; M e a s u r e s \ B e d s   o c c   o v e r   2 1   d a y s & g t ; \ C O L U M N < / K e y > < / a : K e y > < a : V a l u e   i : t y p e = " M e a s u r e G r i d V i e w S t a t e I D i a g r a m L i n k E n d p o i n t " / > < / a : K e y V a l u e O f D i a g r a m O b j e c t K e y a n y T y p e z b w N T n L X > < a : K e y V a l u e O f D i a g r a m O b j e c t K e y a n y T y p e z b w N T n L X > < a : K e y > < K e y > L i n k s \ & l t ; C o l u m n s \ S u m   o f   B e d s   o c c   o v e r   2 1   d a y s & g t ; - & l t ; M e a s u r e s \ B e d s   o c c   o v e r   2 1   d a y s & g t ; \ M E A S U R E < / K e y > < / a : K e y > < a : V a l u e   i : t y p e = " M e a s u r e G r i d V i e w S t a t e I D i a g r a m L i n k E n d p o i n t " / > < / a : K e y V a l u e O f D i a g r a m O b j e c t K e y a n y T y p e z b w N T n L X > < a : K e y V a l u e O f D i a g r a m O b j e c t K e y a n y T y p e z b w N T n L X > < a : K e y > < K e y > L i n k s \ & l t ; C o l u m n s \ A v e r a g e   o f   B e d s   o c c   o v e r   2 1   d a y s & g t ; - & l t ; M e a s u r e s \ B e d s   o c c   o v e r   2 1   d a y s & g t ; < / K e y > < / a : K e y > < a : V a l u e   i : t y p e = " M e a s u r e G r i d V i e w S t a t e I D i a g r a m L i n k " / > < / a : K e y V a l u e O f D i a g r a m O b j e c t K e y a n y T y p e z b w N T n L X > < a : K e y V a l u e O f D i a g r a m O b j e c t K e y a n y T y p e z b w N T n L X > < a : K e y > < K e y > L i n k s \ & l t ; C o l u m n s \ A v e r a g e   o f   B e d s   o c c   o v e r   2 1   d a y s & g t ; - & l t ; M e a s u r e s \ B e d s   o c c   o v e r   2 1   d a y s & g t ; \ C O L U M N < / K e y > < / a : K e y > < a : V a l u e   i : t y p e = " M e a s u r e G r i d V i e w S t a t e I D i a g r a m L i n k E n d p o i n t " / > < / a : K e y V a l u e O f D i a g r a m O b j e c t K e y a n y T y p e z b w N T n L X > < a : K e y V a l u e O f D i a g r a m O b j e c t K e y a n y T y p e z b w N T n L X > < a : K e y > < K e y > L i n k s \ & l t ; C o l u m n s \ A v e r a g e   o f   B e d s   o c c   o v e r   2 1   d a y s & g t ; - & l t ; M e a s u r e s \ B e d s   o c c   o v e r   2 1   d a y s & g t ; \ M E A S U R E < / K e y > < / a : K e y > < a : V a l u e   i : t y p e = " M e a s u r e G r i d V i e w S t a t e I D i a g r a m L i n k E n d p o i n t " / > < / a : K e y V a l u e O f D i a g r a m O b j e c t K e y a n y T y p e z b w N T n L X > < a : K e y V a l u e O f D i a g r a m O b j e c t K e y a n y T y p e z b w N T n L X > < a : K e y > < K e y > L i n k s \ & l t ; C o l u m n s \ S u m   o f   B e d s   c l o s e d   n o r o v i r u s & g t ; - & l t ; M e a s u r e s \ B e d s   c l o s e d   n o r o v i r u s & g t ; < / K e y > < / a : K e y > < a : V a l u e   i : t y p e = " M e a s u r e G r i d V i e w S t a t e I D i a g r a m L i n k " / > < / a : K e y V a l u e O f D i a g r a m O b j e c t K e y a n y T y p e z b w N T n L X > < a : K e y V a l u e O f D i a g r a m O b j e c t K e y a n y T y p e z b w N T n L X > < a : K e y > < K e y > L i n k s \ & l t ; C o l u m n s \ S u m   o f   B e d s   c l o s e d   n o r o v i r u s & g t ; - & l t ; M e a s u r e s \ B e d s   c l o s e d   n o r o v i r u s & g t ; \ C O L U M N < / K e y > < / a : K e y > < a : V a l u e   i : t y p e = " M e a s u r e G r i d V i e w S t a t e I D i a g r a m L i n k E n d p o i n t " / > < / a : K e y V a l u e O f D i a g r a m O b j e c t K e y a n y T y p e z b w N T n L X > < a : K e y V a l u e O f D i a g r a m O b j e c t K e y a n y T y p e z b w N T n L X > < a : K e y > < K e y > L i n k s \ & l t ; C o l u m n s \ S u m   o f   B e d s   c l o s e d   n o r o v i r u s & g t ; - & l t ; M e a s u r e s \ B e d s   c l o s e d   n o r o v i r u s & g t ; \ M E A S U R E < / K e y > < / a : K e y > < a : V a l u e   i : t y p e = " M e a s u r e G r i d V i e w S t a t e I D i a g r a m L i n k E n d p o i n t " / > < / a : K e y V a l u e O f D i a g r a m O b j e c t K e y a n y T y p e z b w N T n L X > < a : K e y V a l u e O f D i a g r a m O b j e c t K e y a n y T y p e z b w N T n L X > < a : K e y > < K e y > L i n k s \ & l t ; C o l u m n s \ A v e r a g e   o f   B e d s   c l o s e d   n o r o v i r u s & g t ; - & l t ; M e a s u r e s \ B e d s   c l o s e d   n o r o v i r u s & g t ; < / K e y > < / a : K e y > < a : V a l u e   i : t y p e = " M e a s u r e G r i d V i e w S t a t e I D i a g r a m L i n k " / > < / a : K e y V a l u e O f D i a g r a m O b j e c t K e y a n y T y p e z b w N T n L X > < a : K e y V a l u e O f D i a g r a m O b j e c t K e y a n y T y p e z b w N T n L X > < a : K e y > < K e y > L i n k s \ & l t ; C o l u m n s \ A v e r a g e   o f   B e d s   c l o s e d   n o r o v i r u s & g t ; - & l t ; M e a s u r e s \ B e d s   c l o s e d   n o r o v i r u s & g t ; \ C O L U M N < / K e y > < / a : K e y > < a : V a l u e   i : t y p e = " M e a s u r e G r i d V i e w S t a t e I D i a g r a m L i n k E n d p o i n t " / > < / a : K e y V a l u e O f D i a g r a m O b j e c t K e y a n y T y p e z b w N T n L X > < a : K e y V a l u e O f D i a g r a m O b j e c t K e y a n y T y p e z b w N T n L X > < a : K e y > < K e y > L i n k s \ & l t ; C o l u m n s \ A v e r a g e   o f   B e d s   c l o s e d   n o r o v i r u s & g t ; - & l t ; M e a s u r e s \ B e d s   c l o s e d   n o r o v i r u s & g t ; \ M E A S U R E < / K e y > < / a : K e y > < a : V a l u e   i : t y p e = " M e a s u r e G r i d V i e w S t a t e I D i a g r a m L i n k E n d p o i n t " / > < / a : K e y V a l u e O f D i a g r a m O b j e c t K e y a n y T y p e z b w N T n L X > < a : K e y V a l u e O f D i a g r a m O b j e c t K e y a n y T y p e z b w N T n L X > < a : K e y > < K e y > L i n k s \ & l t ; C o l u m n s \ S u m   o f   B e d s   c l o s e d   n o r o v i u s   u n o c c & g t ; - & l t ; M e a s u r e s \ B e d s   c l o s e d   n o r o v i u s   u n o c c & g t ; < / K e y > < / a : K e y > < a : V a l u e   i : t y p e = " M e a s u r e G r i d V i e w S t a t e I D i a g r a m L i n k " / > < / a : K e y V a l u e O f D i a g r a m O b j e c t K e y a n y T y p e z b w N T n L X > < a : K e y V a l u e O f D i a g r a m O b j e c t K e y a n y T y p e z b w N T n L X > < a : K e y > < K e y > L i n k s \ & l t ; C o l u m n s \ S u m   o f   B e d s   c l o s e d   n o r o v i u s   u n o c c & g t ; - & l t ; M e a s u r e s \ B e d s   c l o s e d   n o r o v i u s   u n o c c & g t ; \ C O L U M N < / K e y > < / a : K e y > < a : V a l u e   i : t y p e = " M e a s u r e G r i d V i e w S t a t e I D i a g r a m L i n k E n d p o i n t " / > < / a : K e y V a l u e O f D i a g r a m O b j e c t K e y a n y T y p e z b w N T n L X > < a : K e y V a l u e O f D i a g r a m O b j e c t K e y a n y T y p e z b w N T n L X > < a : K e y > < K e y > L i n k s \ & l t ; C o l u m n s \ S u m   o f   B e d s   c l o s e d   n o r o v i u s   u n o c c & g t ; - & l t ; M e a s u r e s \ B e d s   c l o s e d   n o r o v i u s   u n o c c & g t ; \ M E A S U R E < / K e y > < / a : K e y > < a : V a l u e   i : t y p e = " M e a s u r e G r i d V i e w S t a t e I D i a g r a m L i n k E n d p o i n t " / > < / a : K e y V a l u e O f D i a g r a m O b j e c t K e y a n y T y p e z b w N T n L X > < a : K e y V a l u e O f D i a g r a m O b j e c t K e y a n y T y p e z b w N T n L X > < a : K e y > < K e y > L i n k s \ & l t ; C o l u m n s \ S u m   o f   A m b   a r r i v a l s & g t ; - & l t ; M e a s u r e s \ A m b   a r r i v a l s & g t ; < / K e y > < / a : K e y > < a : V a l u e   i : t y p e = " M e a s u r e G r i d V i e w S t a t e I D i a g r a m L i n k " / > < / a : K e y V a l u e O f D i a g r a m O b j e c t K e y a n y T y p e z b w N T n L X > < a : K e y V a l u e O f D i a g r a m O b j e c t K e y a n y T y p e z b w N T n L X > < a : K e y > < K e y > L i n k s \ & l t ; C o l u m n s \ S u m   o f   A m b   a r r i v a l s & g t ; - & l t ; M e a s u r e s \ A m b   a r r i v a l s & g t ; \ C O L U M N < / K e y > < / a : K e y > < a : V a l u e   i : t y p e = " M e a s u r e G r i d V i e w S t a t e I D i a g r a m L i n k E n d p o i n t " / > < / a : K e y V a l u e O f D i a g r a m O b j e c t K e y a n y T y p e z b w N T n L X > < a : K e y V a l u e O f D i a g r a m O b j e c t K e y a n y T y p e z b w N T n L X > < a : K e y > < K e y > L i n k s \ & l t ; C o l u m n s \ S u m   o f   A m b   a r r i v a l s & g t ; - & l t ; M e a s u r e s \ A m b   a r r i v a l s & g t ; \ M E A S U R E < / K e y > < / a : K e y > < a : V a l u e   i : t y p e = " M e a s u r e G r i d V i e w S t a t e I D i a g r a m L i n k E n d p o i n t " / > < / a : K e y V a l u e O f D i a g r a m O b j e c t K e y a n y T y p e z b w N T n L X > < a : K e y V a l u e O f D i a g r a m O b j e c t K e y a n y T y p e z b w N T n L X > < a : K e y > < K e y > L i n k s \ & l t ; C o l u m n s \ S u m   o f   A m b   d e l a y s   3 0 - 6 0   m i n s & g t ; - & l t ; M e a s u r e s \ A m b   d e l a y s   3 0 - 6 0   m i n s & g t ; < / K e y > < / a : K e y > < a : V a l u e   i : t y p e = " M e a s u r e G r i d V i e w S t a t e I D i a g r a m L i n k " / > < / a : K e y V a l u e O f D i a g r a m O b j e c t K e y a n y T y p e z b w N T n L X > < a : K e y V a l u e O f D i a g r a m O b j e c t K e y a n y T y p e z b w N T n L X > < a : K e y > < K e y > L i n k s \ & l t ; C o l u m n s \ S u m   o f   A m b   d e l a y s   3 0 - 6 0   m i n s & g t ; - & l t ; M e a s u r e s \ A m b   d e l a y s   3 0 - 6 0   m i n s & g t ; \ C O L U M N < / K e y > < / a : K e y > < a : V a l u e   i : t y p e = " M e a s u r e G r i d V i e w S t a t e I D i a g r a m L i n k E n d p o i n t " / > < / a : K e y V a l u e O f D i a g r a m O b j e c t K e y a n y T y p e z b w N T n L X > < a : K e y V a l u e O f D i a g r a m O b j e c t K e y a n y T y p e z b w N T n L X > < a : K e y > < K e y > L i n k s \ & l t ; C o l u m n s \ S u m   o f   A m b   d e l a y s   3 0 - 6 0   m i n s & g t ; - & l t ; M e a s u r e s \ A m b   d e l a y s   3 0 - 6 0   m i n s & g t ; \ M E A S U R E < / K e y > < / a : K e y > < a : V a l u e   i : t y p e = " M e a s u r e G r i d V i e w S t a t e I D i a g r a m L i n k E n d p o i n t " / > < / a : K e y V a l u e O f D i a g r a m O b j e c t K e y a n y T y p e z b w N T n L X > < a : K e y V a l u e O f D i a g r a m O b j e c t K e y a n y T y p e z b w N T n L X > < a : K e y > < K e y > L i n k s \ & l t ; C o l u m n s \ S u m   o f   A m b   d e l a y s   o v e r   6 0   m i n s & g t ; - & l t ; M e a s u r e s \ A m b   d e l a y s   o v e r   6 0   m i n s & g t ; < / K e y > < / a : K e y > < a : V a l u e   i : t y p e = " M e a s u r e G r i d V i e w S t a t e I D i a g r a m L i n k " / > < / a : K e y V a l u e O f D i a g r a m O b j e c t K e y a n y T y p e z b w N T n L X > < a : K e y V a l u e O f D i a g r a m O b j e c t K e y a n y T y p e z b w N T n L X > < a : K e y > < K e y > L i n k s \ & l t ; C o l u m n s \ S u m   o f   A m b   d e l a y s   o v e r   6 0   m i n s & g t ; - & l t ; M e a s u r e s \ A m b   d e l a y s   o v e r   6 0   m i n s & g t ; \ C O L U M N < / K e y > < / a : K e y > < a : V a l u e   i : t y p e = " M e a s u r e G r i d V i e w S t a t e I D i a g r a m L i n k E n d p o i n t " / > < / a : K e y V a l u e O f D i a g r a m O b j e c t K e y a n y T y p e z b w N T n L X > < a : K e y V a l u e O f D i a g r a m O b j e c t K e y a n y T y p e z b w N T n L X > < a : K e y > < K e y > L i n k s \ & l t ; C o l u m n s \ S u m   o f   A m b   d e l a y s   o v e r   6 0   m i n s & g t ; - & l t ; M e a s u r e s \ A m b   d e l a y s   o v e r   6 0   m i n s & g t ; \ M E A S U R E < / K e y > < / a : K e y > < a : V a l u e   i : t y p e = " M e a s u r e G r i d V i e w S t a t e I D i a g r a m L i n k E n d p o i n t " / > < / a : K e y V a l u e O f D i a g r a m O b j e c t K e y a n y T y p e z b w N T n L X > < a : K e y V a l u e O f D i a g r a m O b j e c t K e y a n y T y p e z b w N T n L X > < a : K e y > < K e y > L i n k s \ & l t ; C o l u m n s \ S u m   o f   A d u l t   C C   b e d s   a v a i l & g t ; - & l t ; M e a s u r e s \ A d u l t   C C   b e d s   a v a i l & g t ; < / K e y > < / a : K e y > < a : V a l u e   i : t y p e = " M e a s u r e G r i d V i e w S t a t e I D i a g r a m L i n k " / > < / a : K e y V a l u e O f D i a g r a m O b j e c t K e y a n y T y p e z b w N T n L X > < a : K e y V a l u e O f D i a g r a m O b j e c t K e y a n y T y p e z b w N T n L X > < a : K e y > < K e y > L i n k s \ & l t ; C o l u m n s \ S u m   o f   A d u l t   C C   b e d s   a v a i l & g t ; - & l t ; M e a s u r e s \ A d u l t   C C   b e d s   a v a i l & g t ; \ C O L U M N < / K e y > < / a : K e y > < a : V a l u e   i : t y p e = " M e a s u r e G r i d V i e w S t a t e I D i a g r a m L i n k E n d p o i n t " / > < / a : K e y V a l u e O f D i a g r a m O b j e c t K e y a n y T y p e z b w N T n L X > < a : K e y V a l u e O f D i a g r a m O b j e c t K e y a n y T y p e z b w N T n L X > < a : K e y > < K e y > L i n k s \ & l t ; C o l u m n s \ S u m   o f   A d u l t   C C   b e d s   a v a i l & g t ; - & l t ; M e a s u r e s \ A d u l t   C C   b e d s   a v a i l & g t ; \ M E A S U R E < / K e y > < / a : K e y > < a : V a l u e   i : t y p e = " M e a s u r e G r i d V i e w S t a t e I D i a g r a m L i n k E n d p o i n t " / > < / a : K e y V a l u e O f D i a g r a m O b j e c t K e y a n y T y p e z b w N T n L X > < a : K e y V a l u e O f D i a g r a m O b j e c t K e y a n y T y p e z b w N T n L X > < a : K e y > < K e y > L i n k s \ & l t ; C o l u m n s \ S u m   o f   A d u l t   C C   b e d s   o c c & g t ; - & l t ; M e a s u r e s \ A d u l t   C C   b e d s   o c c & g t ; < / K e y > < / a : K e y > < a : V a l u e   i : t y p e = " M e a s u r e G r i d V i e w S t a t e I D i a g r a m L i n k " / > < / a : K e y V a l u e O f D i a g r a m O b j e c t K e y a n y T y p e z b w N T n L X > < a : K e y V a l u e O f D i a g r a m O b j e c t K e y a n y T y p e z b w N T n L X > < a : K e y > < K e y > L i n k s \ & l t ; C o l u m n s \ S u m   o f   A d u l t   C C   b e d s   o c c & g t ; - & l t ; M e a s u r e s \ A d u l t   C C   b e d s   o c c & g t ; \ C O L U M N < / K e y > < / a : K e y > < a : V a l u e   i : t y p e = " M e a s u r e G r i d V i e w S t a t e I D i a g r a m L i n k E n d p o i n t " / > < / a : K e y V a l u e O f D i a g r a m O b j e c t K e y a n y T y p e z b w N T n L X > < a : K e y V a l u e O f D i a g r a m O b j e c t K e y a n y T y p e z b w N T n L X > < a : K e y > < K e y > L i n k s \ & l t ; C o l u m n s \ S u m   o f   A d u l t   C C   b e d s   o c c & g t ; - & l t ; M e a s u r e s \ A d u l t   C C   b e d s   o c c & g t ; \ M E A S U R E < / K e y > < / a : K e y > < a : V a l u e   i : t y p e = " M e a s u r e G r i d V i e w S t a t e I D i a g r a m L i n k E n d p o i n t " / > < / a : K e y V a l u e O f D i a g r a m O b j e c t K e y a n y T y p e z b w N T n L X > < a : K e y V a l u e O f D i a g r a m O b j e c t K e y a n y T y p e z b w N T n L X > < a : K e y > < K e y > L i n k s \ & l t ; C o l u m n s \ S u m   o f   P a e d   I n t   C a r e   A v a i l & g t ; - & l t ; M e a s u r e s \ P a e d   I n t   C a r e   A v a i l & g t ; < / K e y > < / a : K e y > < a : V a l u e   i : t y p e = " M e a s u r e G r i d V i e w S t a t e I D i a g r a m L i n k " / > < / a : K e y V a l u e O f D i a g r a m O b j e c t K e y a n y T y p e z b w N T n L X > < a : K e y V a l u e O f D i a g r a m O b j e c t K e y a n y T y p e z b w N T n L X > < a : K e y > < K e y > L i n k s \ & l t ; C o l u m n s \ S u m   o f   P a e d   I n t   C a r e   A v a i l & g t ; - & l t ; M e a s u r e s \ P a e d   I n t   C a r e   A v a i l & g t ; \ C O L U M N < / K e y > < / a : K e y > < a : V a l u e   i : t y p e = " M e a s u r e G r i d V i e w S t a t e I D i a g r a m L i n k E n d p o i n t " / > < / a : K e y V a l u e O f D i a g r a m O b j e c t K e y a n y T y p e z b w N T n L X > < a : K e y V a l u e O f D i a g r a m O b j e c t K e y a n y T y p e z b w N T n L X > < a : K e y > < K e y > L i n k s \ & l t ; C o l u m n s \ S u m   o f   P a e d   I n t   C a r e   A v a i l & g t ; - & l t ; M e a s u r e s \ P a e d   I n t   C a r e   A v a i l & g t ; \ M E A S U R E < / K e y > < / a : K e y > < a : V a l u e   i : t y p e = " M e a s u r e G r i d V i e w S t a t e I D i a g r a m L i n k E n d p o i n t " / > < / a : K e y V a l u e O f D i a g r a m O b j e c t K e y a n y T y p e z b w N T n L X > < a : K e y V a l u e O f D i a g r a m O b j e c t K e y a n y T y p e z b w N T n L X > < a : K e y > < K e y > L i n k s \ & l t ; C o l u m n s \ S u m   o f   P a e d   I n t   C a r e   O c c & g t ; - & l t ; M e a s u r e s \ P a e d   I n t   C a r e   O c c & g t ; < / K e y > < / a : K e y > < a : V a l u e   i : t y p e = " M e a s u r e G r i d V i e w S t a t e I D i a g r a m L i n k " / > < / a : K e y V a l u e O f D i a g r a m O b j e c t K e y a n y T y p e z b w N T n L X > < a : K e y V a l u e O f D i a g r a m O b j e c t K e y a n y T y p e z b w N T n L X > < a : K e y > < K e y > L i n k s \ & l t ; C o l u m n s \ S u m   o f   P a e d   I n t   C a r e   O c c & g t ; - & l t ; M e a s u r e s \ P a e d   I n t   C a r e   O c c & g t ; \ C O L U M N < / K e y > < / a : K e y > < a : V a l u e   i : t y p e = " M e a s u r e G r i d V i e w S t a t e I D i a g r a m L i n k E n d p o i n t " / > < / a : K e y V a l u e O f D i a g r a m O b j e c t K e y a n y T y p e z b w N T n L X > < a : K e y V a l u e O f D i a g r a m O b j e c t K e y a n y T y p e z b w N T n L X > < a : K e y > < K e y > L i n k s \ & l t ; C o l u m n s \ S u m   o f   P a e d   I n t   C a r e   O c c & g t ; - & l t ; M e a s u r e s \ P a e d   I n t   C a r e   O c c & g t ; \ M E A S U R E < / K e y > < / a : K e y > < a : V a l u e   i : t y p e = " M e a s u r e G r i d V i e w S t a t e I D i a g r a m L i n k E n d p o i n t " / > < / a : K e y V a l u e O f D i a g r a m O b j e c t K e y a n y T y p e z b w N T n L X > < a : K e y V a l u e O f D i a g r a m O b j e c t K e y a n y T y p e z b w N T n L X > < a : K e y > < K e y > L i n k s \ & l t ; C o l u m n s \ S u m   o f   N e o   I n t   C a r e   A v a i l & g t ; - & l t ; M e a s u r e s \ N e o   I n t   C a r e   A v a i l & g t ; < / K e y > < / a : K e y > < a : V a l u e   i : t y p e = " M e a s u r e G r i d V i e w S t a t e I D i a g r a m L i n k " / > < / a : K e y V a l u e O f D i a g r a m O b j e c t K e y a n y T y p e z b w N T n L X > < a : K e y V a l u e O f D i a g r a m O b j e c t K e y a n y T y p e z b w N T n L X > < a : K e y > < K e y > L i n k s \ & l t ; C o l u m n s \ S u m   o f   N e o   I n t   C a r e   A v a i l & g t ; - & l t ; M e a s u r e s \ N e o   I n t   C a r e   A v a i l & g t ; \ C O L U M N < / K e y > < / a : K e y > < a : V a l u e   i : t y p e = " M e a s u r e G r i d V i e w S t a t e I D i a g r a m L i n k E n d p o i n t " / > < / a : K e y V a l u e O f D i a g r a m O b j e c t K e y a n y T y p e z b w N T n L X > < a : K e y V a l u e O f D i a g r a m O b j e c t K e y a n y T y p e z b w N T n L X > < a : K e y > < K e y > L i n k s \ & l t ; C o l u m n s \ S u m   o f   N e o   I n t   C a r e   A v a i l & g t ; - & l t ; M e a s u r e s \ N e o   I n t   C a r e   A v a i l & g t ; \ M E A S U R E < / K e y > < / a : K e y > < a : V a l u e   i : t y p e = " M e a s u r e G r i d V i e w S t a t e I D i a g r a m L i n k E n d p o i n t " / > < / a : K e y V a l u e O f D i a g r a m O b j e c t K e y a n y T y p e z b w N T n L X > < a : K e y V a l u e O f D i a g r a m O b j e c t K e y a n y T y p e z b w N T n L X > < a : K e y > < K e y > L i n k s \ & l t ; C o l u m n s \ S u m   o f   N e o   I n t   C a r e   o c c & g t ; - & l t ; M e a s u r e s \ N e o   I n t   C a r e   o c c & g t ; < / K e y > < / a : K e y > < a : V a l u e   i : t y p e = " M e a s u r e G r i d V i e w S t a t e I D i a g r a m L i n k " / > < / a : K e y V a l u e O f D i a g r a m O b j e c t K e y a n y T y p e z b w N T n L X > < a : K e y V a l u e O f D i a g r a m O b j e c t K e y a n y T y p e z b w N T n L X > < a : K e y > < K e y > L i n k s \ & l t ; C o l u m n s \ S u m   o f   N e o   I n t   C a r e   o c c & g t ; - & l t ; M e a s u r e s \ N e o   I n t   C a r e   o c c & g t ; \ C O L U M N < / K e y > < / a : K e y > < a : V a l u e   i : t y p e = " M e a s u r e G r i d V i e w S t a t e I D i a g r a m L i n k E n d p o i n t " / > < / a : K e y V a l u e O f D i a g r a m O b j e c t K e y a n y T y p e z b w N T n L X > < a : K e y V a l u e O f D i a g r a m O b j e c t K e y a n y T y p e z b w N T n L X > < a : K e y > < K e y > L i n k s \ & l t ; C o l u m n s \ S u m   o f   N e o   I n t   C a r e   o c c & g t ; - & l t ; M e a s u r e s \ N e o   I n t   C a r e   o c c & g t ; \ M E A S U R E < / K e y > < / a : K e y > < a : V a l u e   i : t y p e = " M e a s u r e G r i d V i e w S t a t e I D i a g r a m L i n k E n d p o i n t " / > < / a : K e y V a l u e O f D i a g r a m O b j e c t K e y a n y T y p e z b w N T n L X > < a : K e y V a l u e O f D i a g r a m O b j e c t K e y a n y T y p e z b w N T n L X > < a : K e y > < K e y > L i n k s \ & l t ; C o l u m n s \ A v e r a g e   o f   N e o   I n t   C a r e   A v a i l & g t ; - & l t ; M e a s u r e s \ N e o   I n t   C a r e   A v a i l & g t ; < / K e y > < / a : K e y > < a : V a l u e   i : t y p e = " M e a s u r e G r i d V i e w S t a t e I D i a g r a m L i n k " / > < / a : K e y V a l u e O f D i a g r a m O b j e c t K e y a n y T y p e z b w N T n L X > < a : K e y V a l u e O f D i a g r a m O b j e c t K e y a n y T y p e z b w N T n L X > < a : K e y > < K e y > L i n k s \ & l t ; C o l u m n s \ A v e r a g e   o f   N e o   I n t   C a r e   A v a i l & g t ; - & l t ; M e a s u r e s \ N e o   I n t   C a r e   A v a i l & g t ; \ C O L U M N < / K e y > < / a : K e y > < a : V a l u e   i : t y p e = " M e a s u r e G r i d V i e w S t a t e I D i a g r a m L i n k E n d p o i n t " / > < / a : K e y V a l u e O f D i a g r a m O b j e c t K e y a n y T y p e z b w N T n L X > < a : K e y V a l u e O f D i a g r a m O b j e c t K e y a n y T y p e z b w N T n L X > < a : K e y > < K e y > L i n k s \ & l t ; C o l u m n s \ A v e r a g e   o f   N e o   I n t   C a r e   A v a i l & g t ; - & l t ; M e a s u r e s \ N e o   I n t   C a r e   A v a i l & g t ; \ M E A S U R E < / K e y > < / a : K e y > < a : V a l u e   i : t y p e = " M e a s u r e G r i d V i e w S t a t e I D i a g r a m L i n k E n d p o i n t " / > < / a : K e y V a l u e O f D i a g r a m O b j e c t K e y a n y T y p e z b w N T n L X > < a : K e y V a l u e O f D i a g r a m O b j e c t K e y a n y T y p e z b w N T n L X > < a : K e y > < K e y > L i n k s \ & l t ; C o l u m n s \ A v e r a g e   o f   N e o   I n t   C a r e   o c c & g t ; - & l t ; M e a s u r e s \ N e o   I n t   C a r e   o c c & g t ; < / K e y > < / a : K e y > < a : V a l u e   i : t y p e = " M e a s u r e G r i d V i e w S t a t e I D i a g r a m L i n k " / > < / a : K e y V a l u e O f D i a g r a m O b j e c t K e y a n y T y p e z b w N T n L X > < a : K e y V a l u e O f D i a g r a m O b j e c t K e y a n y T y p e z b w N T n L X > < a : K e y > < K e y > L i n k s \ & l t ; C o l u m n s \ A v e r a g e   o f   N e o   I n t   C a r e   o c c & g t ; - & l t ; M e a s u r e s \ N e o   I n t   C a r e   o c c & g t ; \ C O L U M N < / K e y > < / a : K e y > < a : V a l u e   i : t y p e = " M e a s u r e G r i d V i e w S t a t e I D i a g r a m L i n k E n d p o i n t " / > < / a : K e y V a l u e O f D i a g r a m O b j e c t K e y a n y T y p e z b w N T n L X > < a : K e y V a l u e O f D i a g r a m O b j e c t K e y a n y T y p e z b w N T n L X > < a : K e y > < K e y > L i n k s \ & l t ; C o l u m n s \ A v e r a g e   o f   N e o   I n t   C a r e   o c c & g t ; - & l t ; M e a s u r e s \ N e o   I n t   C a r e   o c c & g t ; \ M E A S U R E < / K e y > < / a : K e y > < a : V a l u e   i : t y p e = " M e a s u r e G r i d V i e w S t a t e I D i a g r a m L i n k E n d p o i n t " / > < / a : K e y V a l u e O f D i a g r a m O b j e c t K e y a n y T y p e z b w N T n L X > < a : K e y V a l u e O f D i a g r a m O b j e c t K e y a n y T y p e z b w N T n L X > < a : K e y > < K e y > L i n k s \ & l t ; C o l u m n s \ S u m   o f   G A   b e d   o c c u p a n c y & g t ; - & l t ; M e a s u r e s \ G A   b e d   o c c u p a n c y & g t ; < / K e y > < / a : K e y > < a : V a l u e   i : t y p e = " M e a s u r e G r i d V i e w S t a t e I D i a g r a m L i n k " / > < / a : K e y V a l u e O f D i a g r a m O b j e c t K e y a n y T y p e z b w N T n L X > < a : K e y V a l u e O f D i a g r a m O b j e c t K e y a n y T y p e z b w N T n L X > < a : K e y > < K e y > L i n k s \ & l t ; C o l u m n s \ S u m   o f   G A   b e d   o c c u p a n c y & g t ; - & l t ; M e a s u r e s \ G A   b e d   o c c u p a n c y & g t ; \ C O L U M N < / K e y > < / a : K e y > < a : V a l u e   i : t y p e = " M e a s u r e G r i d V i e w S t a t e I D i a g r a m L i n k E n d p o i n t " / > < / a : K e y V a l u e O f D i a g r a m O b j e c t K e y a n y T y p e z b w N T n L X > < a : K e y V a l u e O f D i a g r a m O b j e c t K e y a n y T y p e z b w N T n L X > < a : K e y > < K e y > L i n k s \ & l t ; C o l u m n s \ S u m   o f   G A   b e d   o c c u p a n c y & g t ; - & l t ; M e a s u r e s \ G A   b e d   o c c u p a n c y & g t ; \ M E A S U R E < / K e y > < / a : K e y > < a : V a l u e   i : t y p e = " M e a s u r e G r i d V i e w S t a t e I D i a g r a m L i n k E n d p o i n t " / > < / a : K e y V a l u e O f D i a g r a m O b j e c t K e y a n y T y p e z b w N T n L X > < a : K e y V a l u e O f D i a g r a m O b j e c t K e y a n y T y p e z b w N T n L X > < a : K e y > < K e y > L i n k s \ & l t ; C o l u m n s \ A v e r a g e   o f   G A   b e d   o c c u p a n c y & g t ; - & l t ; M e a s u r e s \ G A   b e d   o c c u p a n c y & g t ; < / K e y > < / a : K e y > < a : V a l u e   i : t y p e = " M e a s u r e G r i d V i e w S t a t e I D i a g r a m L i n k " / > < / a : K e y V a l u e O f D i a g r a m O b j e c t K e y a n y T y p e z b w N T n L X > < a : K e y V a l u e O f D i a g r a m O b j e c t K e y a n y T y p e z b w N T n L X > < a : K e y > < K e y > L i n k s \ & l t ; C o l u m n s \ A v e r a g e   o f   G A   b e d   o c c u p a n c y & g t ; - & l t ; M e a s u r e s \ G A   b e d   o c c u p a n c y & g t ; \ C O L U M N < / K e y > < / a : K e y > < a : V a l u e   i : t y p e = " M e a s u r e G r i d V i e w S t a t e I D i a g r a m L i n k E n d p o i n t " / > < / a : K e y V a l u e O f D i a g r a m O b j e c t K e y a n y T y p e z b w N T n L X > < a : K e y V a l u e O f D i a g r a m O b j e c t K e y a n y T y p e z b w N T n L X > < a : K e y > < K e y > L i n k s \ & l t ; C o l u m n s \ A v e r a g e   o f   G A   b e d   o c c u p a n c y & g t ; - & l t ; M e a s u r e s \ G A   b e d   o c c u p a n c y & g t ; \ M E A S U R E < / K e y > < / a : K e y > < a : V a l u e   i : t y p e = " M e a s u r e G r i d V i e w S t a t e I D i a g r a m L i n k E n d p o i n t " / > < / a : K e y V a l u e O f D i a g r a m O b j e c t K e y a n y T y p e z b w N T n L X > < a : K e y V a l u e O f D i a g r a m O b j e c t K e y a n y T y p e z b w N T n L X > < a : K e y > < K e y > L i n k s \ & l t ; C o l u m n s \ S u m   o f   G A   c o r e   b e d s   a v a i l & g t ; - & l t ; M e a s u r e s \ G A   c o r e   b e d s   a v a i l & g t ; < / K e y > < / a : K e y > < a : V a l u e   i : t y p e = " M e a s u r e G r i d V i e w S t a t e I D i a g r a m L i n k " / > < / a : K e y V a l u e O f D i a g r a m O b j e c t K e y a n y T y p e z b w N T n L X > < a : K e y V a l u e O f D i a g r a m O b j e c t K e y a n y T y p e z b w N T n L X > < a : K e y > < K e y > L i n k s \ & l t ; C o l u m n s \ S u m   o f   G A   c o r e   b e d s   a v a i l & g t ; - & l t ; M e a s u r e s \ G A   c o r e   b e d s   a v a i l & g t ; \ C O L U M N < / K e y > < / a : K e y > < a : V a l u e   i : t y p e = " M e a s u r e G r i d V i e w S t a t e I D i a g r a m L i n k E n d p o i n t " / > < / a : K e y V a l u e O f D i a g r a m O b j e c t K e y a n y T y p e z b w N T n L X > < a : K e y V a l u e O f D i a g r a m O b j e c t K e y a n y T y p e z b w N T n L X > < a : K e y > < K e y > L i n k s \ & l t ; C o l u m n s \ S u m   o f   G A   c o r e   b e d s   a v a i l & g t ; - & l t ; M e a s u r e s \ G A   c o r e   b e d s   a v a i l & g t ; \ M E A S U R E < / K e y > < / a : K e y > < a : V a l u e   i : t y p e = " M e a s u r e G r i d V i e w S t a t e I D i a g r a m L i n k E n d p o i n t " / > < / a : K e y V a l u e O f D i a g r a m O b j e c t K e y a n y T y p e z b w N T n L X > < a : K e y V a l u e O f D i a g r a m O b j e c t K e y a n y T y p e z b w N T n L X > < a : K e y > < K e y > L i n k s \ & l t ; C o l u m n s \ S u m   o f   G A   e s c a l a t i o n   b e d s   a v a i l & g t ; - & l t ; M e a s u r e s \ G A   e s c a l a t i o n   b e d s   a v a i l & g t ; < / K e y > < / a : K e y > < a : V a l u e   i : t y p e = " M e a s u r e G r i d V i e w S t a t e I D i a g r a m L i n k " / > < / a : K e y V a l u e O f D i a g r a m O b j e c t K e y a n y T y p e z b w N T n L X > < a : K e y V a l u e O f D i a g r a m O b j e c t K e y a n y T y p e z b w N T n L X > < a : K e y > < K e y > L i n k s \ & l t ; C o l u m n s \ S u m   o f   G A   e s c a l a t i o n   b e d s   a v a i l & g t ; - & l t ; M e a s u r e s \ G A   e s c a l a t i o n   b e d s   a v a i l & g t ; \ C O L U M N < / K e y > < / a : K e y > < a : V a l u e   i : t y p e = " M e a s u r e G r i d V i e w S t a t e I D i a g r a m L i n k E n d p o i n t " / > < / a : K e y V a l u e O f D i a g r a m O b j e c t K e y a n y T y p e z b w N T n L X > < a : K e y V a l u e O f D i a g r a m O b j e c t K e y a n y T y p e z b w N T n L X > < a : K e y > < K e y > L i n k s \ & l t ; C o l u m n s \ S u m   o f   G A   e s c a l a t i o n   b e d s   a v a i l & g t ; - & l t ; M e a s u r e s \ G A   e s c a l a t i o n   b e d s   a v a i l & g t ; \ M E A S U R E < / K e y > < / a : K e y > < a : V a l u e   i : t y p e = " M e a s u r e G r i d V i e w S t a t e I D i a g r a m L i n k E n d p o i n t " / > < / a : K e y V a l u e O f D i a g r a m O b j e c t K e y a n y T y p e z b w N T n L X > < a : K e y V a l u e O f D i a g r a m O b j e c t K e y a n y T y p e z b w N T n L X > < a : K e y > < K e y > L i n k s \ & l t ; C o l u m n s \ S u m   o f   B e d s   o c c   o v e r   1 4   d a y s   2 & g t ; - & l t ; M e a s u r e s \ B e d s   o c c   o v e r   1 4   d a y s & g t ; < / K e y > < / a : K e y > < a : V a l u e   i : t y p e = " M e a s u r e G r i d V i e w S t a t e I D i a g r a m L i n k " / > < / a : K e y V a l u e O f D i a g r a m O b j e c t K e y a n y T y p e z b w N T n L X > < a : K e y V a l u e O f D i a g r a m O b j e c t K e y a n y T y p e z b w N T n L X > < a : K e y > < K e y > L i n k s \ & l t ; C o l u m n s \ S u m   o f   B e d s   o c c   o v e r   1 4   d a y s   2 & g t ; - & l t ; M e a s u r e s \ B e d s   o c c   o v e r   1 4   d a y s & g t ; \ C O L U M N < / K e y > < / a : K e y > < a : V a l u e   i : t y p e = " M e a s u r e G r i d V i e w S t a t e I D i a g r a m L i n k E n d p o i n t " / > < / a : K e y V a l u e O f D i a g r a m O b j e c t K e y a n y T y p e z b w N T n L X > < a : K e y V a l u e O f D i a g r a m O b j e c t K e y a n y T y p e z b w N T n L X > < a : K e y > < K e y > L i n k s \ & l t ; C o l u m n s \ S u m   o f   B e d s   o c c   o v e r   1 4   d a y s   2 & g t ; - & l t ; M e a s u r e s \ B e d s   o c c   o v e r   1 4   d a y s & g t ; \ M E A S U R E < / K e y > < / a : K e y > < a : V a l u e   i : t y p e = " M e a s u r e G r i d V i e w S t a t e I D i a g r a m L i n k E n d p o i n t " / > < / a : K e y V a l u e O f D i a g r a m O b j e c t K e y a n y T y p e z b w N T n L X > < a : K e y V a l u e O f D i a g r a m O b j e c t K e y a n y T y p e z b w N T n L X > < a : K e y > < K e y > L i n k s \ & l t ; C o l u m n s \ S u m   o f   G A   f l u   b e d s & g t ; - & l t ; M e a s u r e s \ G A   f l u   b e d s & g t ; < / K e y > < / a : K e y > < a : V a l u e   i : t y p e = " M e a s u r e G r i d V i e w S t a t e I D i a g r a m L i n k " / > < / a : K e y V a l u e O f D i a g r a m O b j e c t K e y a n y T y p e z b w N T n L X > < a : K e y V a l u e O f D i a g r a m O b j e c t K e y a n y T y p e z b w N T n L X > < a : K e y > < K e y > L i n k s \ & l t ; C o l u m n s \ S u m   o f   G A   f l u   b e d s & g t ; - & l t ; M e a s u r e s \ G A   f l u   b e d s & g t ; \ C O L U M N < / K e y > < / a : K e y > < a : V a l u e   i : t y p e = " M e a s u r e G r i d V i e w S t a t e I D i a g r a m L i n k E n d p o i n t " / > < / a : K e y V a l u e O f D i a g r a m O b j e c t K e y a n y T y p e z b w N T n L X > < a : K e y V a l u e O f D i a g r a m O b j e c t K e y a n y T y p e z b w N T n L X > < a : K e y > < K e y > L i n k s \ & l t ; C o l u m n s \ S u m   o f   G A   f l u   b e d s & g t ; - & l t ; M e a s u r e s \ G A   f l u   b e d s & g t ; \ M E A S U R E < / K e y > < / a : K e y > < a : V a l u e   i : t y p e = " M e a s u r e G r i d V i e w S t a t e I D i a g r a m L i n k E n d p o i n t " / > < / a : K e y V a l u e O f D i a g r a m O b j e c t K e y a n y T y p e z b w N T n L X > < a : K e y V a l u e O f D i a g r a m O b j e c t K e y a n y T y p e z b w N T n L X > < a : K e y > < K e y > L i n k s \ & l t ; C o l u m n s \ S u m   o f   C C   f l u   b e d s & g t ; - & l t ; M e a s u r e s \ C C   f l u   b e d s & g t ; < / K e y > < / a : K e y > < a : V a l u e   i : t y p e = " M e a s u r e G r i d V i e w S t a t e I D i a g r a m L i n k " / > < / a : K e y V a l u e O f D i a g r a m O b j e c t K e y a n y T y p e z b w N T n L X > < a : K e y V a l u e O f D i a g r a m O b j e c t K e y a n y T y p e z b w N T n L X > < a : K e y > < K e y > L i n k s \ & l t ; C o l u m n s \ S u m   o f   C C   f l u   b e d s & g t ; - & l t ; M e a s u r e s \ C C   f l u   b e d s & g t ; \ C O L U M N < / K e y > < / a : K e y > < a : V a l u e   i : t y p e = " M e a s u r e G r i d V i e w S t a t e I D i a g r a m L i n k E n d p o i n t " / > < / a : K e y V a l u e O f D i a g r a m O b j e c t K e y a n y T y p e z b w N T n L X > < a : K e y V a l u e O f D i a g r a m O b j e c t K e y a n y T y p e z b w N T n L X > < a : K e y > < K e y > L i n k s \ & l t ; C o l u m n s \ S u m   o f   C C   f l u   b e d s & g t ; - & l t ; M e a s u r e s \ C C   f l u   b e d s & g t ; \ M E A S U R E < / K e y > < / a : K e y > < a : V a l u e   i : t y p e = " M e a s u r e G r i d V i e w S t a t e I D i a g r a m L i n k E n d p o i n t " / > < / a : K e y V a l u e O f D i a g r a m O b j e c t K e y a n y T y p e z b w N T n L X > < a : K e y V a l u e O f D i a g r a m O b j e c t K e y a n y T y p e z b w N T n L X > < a : K e y > < K e y > L i n k s \ & l t ; C o l u m n s \ S u m   o f   P a e d s   R S V   b e d s   c l o s e d & g t ; - & l t ; M e a s u r e s \ P a e d s   R S V   b e d s   c l o s e d & g t ; < / K e y > < / a : K e y > < a : V a l u e   i : t y p e = " M e a s u r e G r i d V i e w S t a t e I D i a g r a m L i n k " / > < / a : K e y V a l u e O f D i a g r a m O b j e c t K e y a n y T y p e z b w N T n L X > < a : K e y V a l u e O f D i a g r a m O b j e c t K e y a n y T y p e z b w N T n L X > < a : K e y > < K e y > L i n k s \ & l t ; C o l u m n s \ S u m   o f   P a e d s   R S V   b e d s   c l o s e d & g t ; - & l t ; M e a s u r e s \ P a e d s   R S V   b e d s   c l o s e d & g t ; \ C O L U M N < / K e y > < / a : K e y > < a : V a l u e   i : t y p e = " M e a s u r e G r i d V i e w S t a t e I D i a g r a m L i n k E n d p o i n t " / > < / a : K e y V a l u e O f D i a g r a m O b j e c t K e y a n y T y p e z b w N T n L X > < a : K e y V a l u e O f D i a g r a m O b j e c t K e y a n y T y p e z b w N T n L X > < a : K e y > < K e y > L i n k s \ & l t ; C o l u m n s \ S u m   o f   P a e d s   R S V   b e d s   c l o s e d & g t ; - & l t ; M e a s u r e s \ P a e d s   R S V   b e d s   c l o s e d & g t ; \ M E A S U R E < / K e y > < / a : K e y > < a : V a l u e   i : t y p e = " M e a s u r e G r i d V i e w S t a t e I D i a g r a m L i n k E n d p o i n t " / > < / a : K e y V a l u e O f D i a g r a m O b j e c t K e y a n y T y p e z b w N T n L X > < a : K e y V a l u e O f D i a g r a m O b j e c t K e y a n y T y p e z b w N T n L X > < a : K e y > < K e y > L i n k s \ & l t ; C o l u m n s \ S u m   o f   P a e d s   R S V   b e d s   c l o s e d   u n o c c & g t ; - & l t ; M e a s u r e s \ P a e d s   R S V   b e d s   c l o s e d   u n o c c & g t ; < / K e y > < / a : K e y > < a : V a l u e   i : t y p e = " M e a s u r e G r i d V i e w S t a t e I D i a g r a m L i n k " / > < / a : K e y V a l u e O f D i a g r a m O b j e c t K e y a n y T y p e z b w N T n L X > < a : K e y V a l u e O f D i a g r a m O b j e c t K e y a n y T y p e z b w N T n L X > < a : K e y > < K e y > L i n k s \ & l t ; C o l u m n s \ S u m   o f   P a e d s   R S V   b e d s   c l o s e d   u n o c c & g t ; - & l t ; M e a s u r e s \ P a e d s   R S V   b e d s   c l o s e d   u n o c c & g t ; \ C O L U M N < / K e y > < / a : K e y > < a : V a l u e   i : t y p e = " M e a s u r e G r i d V i e w S t a t e I D i a g r a m L i n k E n d p o i n t " / > < / a : K e y V a l u e O f D i a g r a m O b j e c t K e y a n y T y p e z b w N T n L X > < a : K e y V a l u e O f D i a g r a m O b j e c t K e y a n y T y p e z b w N T n L X > < a : K e y > < K e y > L i n k s \ & l t ; C o l u m n s \ S u m   o f   P a e d s   R S V   b e d s   c l o s e d   u n o c c & g t ; - & l t ; M e a s u r e s \ P a e d s   R S V   b e d s   c l o s e d   u n o c c & g t ; \ M E A S U R E < / K e y > < / a : K e y > < a : V a l u e   i : t y p e = " M e a s u r e G r i d V i e w S t a t e I D i a g r a m L i n k E n d p o i n t " / > < / a : K e y V a l u e O f D i a g r a m O b j e c t K e y a n y T y p e z b w N T n L X > < / V i e w S t a t e s > < / D i a g r a m M a n a g e r . S e r i a l i z a b l e D i a g r a m > < D i a g r a m M a n a g e r . S e r i a l i z a b l e D i a g r a m > < A d a p t e r   i : t y p e = " M e a s u r e D i a g r a m S a n d b o x A d a p t e r " > < T a b l e N a m e > C O V I D - 1 9   d a i l y   d i s c h a r g e   s i t r e p s 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 C O V I D - 1 9   d a i l y   d i s c h a r g e   s i t r e p s 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 P a t i e n t s   w h o   n o   l o n g e r   m e e t   t h e   c r i t e r i a   t o   r e s i d e < / K e y > < / D i a g r a m O b j e c t K e y > < D i a g r a m O b j e c t K e y > < K e y > M e a s u r e s \ C o u n t   o f   P a t i e n t s   w h o   n o   l o n g e r   m e e t   t h e   c r i t e r i a   t o   r e s i d e \ T a g I n f o \ F o r m u l a < / K e y > < / D i a g r a m O b j e c t K e y > < D i a g r a m O b j e c t K e y > < K e y > M e a s u r e s \ C o u n t   o f   P a t i e n t s   w h o   n o   l o n g e r   m e e t   t h e   c r i t e r i a   t o   r e s i d e \ T a g I n f o \ V a l u e < / K e y > < / D i a g r a m O b j e c t K e y > < D i a g r a m O b j e c t K e y > < K e y > M e a s u r e s \ C o u n t   o f   P a t i e n t s   d i s c h a r g e d < / K e y > < / D i a g r a m O b j e c t K e y > < D i a g r a m O b j e c t K e y > < K e y > M e a s u r e s \ C o u n t   o f   P a t i e n t s   d i s c h a r g e d \ T a g I n f o \ F o r m u l a < / K e y > < / D i a g r a m O b j e c t K e y > < D i a g r a m O b j e c t K e y > < K e y > M e a s u r e s \ C o u n t   o f   P a t i e n t s   d i s c h a r g e d \ T a g I n f o \ V a l u e < / K e y > < / D i a g r a m O b j e c t K e y > < D i a g r a m O b j e c t K e y > < K e y > M e a s u r e s \ C o u n t   o f   P a t i e n t s   r e m a i n i n g   i n   h o s p i t a l   w h o   n o   l o n g e r   m e e t   t h e   c r i t e r i a   t o   r e s i d e < / K e y > < / D i a g r a m O b j e c t K e y > < D i a g r a m O b j e c t K e y > < K e y > M e a s u r e s \ C o u n t   o f   P a t i e n t s   r e m a i n i n g   i n   h o s p i t a l   w h o   n o   l o n g e r   m e e t   t h e   c r i t e r i a   t o   r e s i d e \ T a g I n f o \ F o r m u l a < / K e y > < / D i a g r a m O b j e c t K e y > < D i a g r a m O b j e c t K e y > < K e y > M e a s u r e s \ C o u n t   o f   P a t i e n t s   r e m a i n i n g   i n   h o s p i t a l   w h o   n o   l o n g e r   m e e t   t h e   c r i t e r i a   t o   r e s i d e \ T a g I n f o \ V a l u e < / K e y > < / D i a g r a m O b j e c t K e y > < D i a g r a m O b j e c t K e y > < K e y > M e a s u r e s \ S u m   o f   P a t i e n t s   r e m a i n i n g   i n   h o s p i t a l   w h o   n o   l o n g e r   m e e t   t h e   c r i t e r i a   t o   r e s i d e < / K e y > < / D i a g r a m O b j e c t K e y > < D i a g r a m O b j e c t K e y > < K e y > M e a s u r e s \ S u m   o f   P a t i e n t s   r e m a i n i n g   i n   h o s p i t a l   w h o   n o   l o n g e r   m e e t   t h e   c r i t e r i a   t o   r e s i d e \ T a g I n f o \ F o r m u l a < / K e y > < / D i a g r a m O b j e c t K e y > < D i a g r a m O b j e c t K e y > < K e y > M e a s u r e s \ S u m   o f   P a t i e n t s   r e m a i n i n g   i n   h o s p i t a l   w h o   n o   l o n g e r   m e e t   t h e   c r i t e r i a   t o   r e s i d e \ T a g I n f o \ V a l u e < / K e y > < / D i a g r a m O b j e c t K e y > < D i a g r a m O b j e c t K e y > < K e y > M e a s u r e s \ S u m   o f   P a t i e n t s   w h o   n o   l o n g e r   m e e t   t h e   c r i t e r i a   t o   r e s i d e < / K e y > < / D i a g r a m O b j e c t K e y > < D i a g r a m O b j e c t K e y > < K e y > M e a s u r e s \ S u m   o f   P a t i e n t s   w h o   n o   l o n g e r   m e e t   t h e   c r i t e r i a   t o   r e s i d e \ T a g I n f o \ F o r m u l a < / K e y > < / D i a g r a m O b j e c t K e y > < D i a g r a m O b j e c t K e y > < K e y > M e a s u r e s \ S u m   o f   P a t i e n t s   w h o   n o   l o n g e r   m e e t   t h e   c r i t e r i a   t o   r e s i d e \ T a g I n f o \ V a l u e < / K e y > < / D i a g r a m O b j e c t K e y > < D i a g r a m O b j e c t K e y > < K e y > M e a s u r e s \ A v e r a g e   o f   P a t i e n t s   w h o   n o   l o n g e r   m e e t   t h e   c r i t e r i a   t o   r e s i d e < / K e y > < / D i a g r a m O b j e c t K e y > < D i a g r a m O b j e c t K e y > < K e y > M e a s u r e s \ A v e r a g e   o f   P a t i e n t s   w h o   n o   l o n g e r   m e e t   t h e   c r i t e r i a   t o   r e s i d e \ T a g I n f o \ F o r m u l a < / K e y > < / D i a g r a m O b j e c t K e y > < D i a g r a m O b j e c t K e y > < K e y > M e a s u r e s \ A v e r a g e   o f   P a t i e n t s   w h o   n o   l o n g e r   m e e t   t h e   c r i t e r i a   t o   r e s i d e \ T a g I n f o \ V a l u e < / K e y > < / D i a g r a m O b j e c t K e y > < D i a g r a m O b j e c t K e y > < K e y > M e a s u r e s \ A v e r a g e   o f   P a t i e n t s   r e m a i n i n g   i n   h o s p i t a l   w h o   n o   l o n g e r   m e e t   t h e   c r i t e r i a   t o   r e s i d e < / K e y > < / D i a g r a m O b j e c t K e y > < D i a g r a m O b j e c t K e y > < K e y > M e a s u r e s \ A v e r a g e   o f   P a t i e n t s   r e m a i n i n g   i n   h o s p i t a l   w h o   n o   l o n g e r   m e e t   t h e   c r i t e r i a   t o   r e s i d e \ T a g I n f o \ F o r m u l a < / K e y > < / D i a g r a m O b j e c t K e y > < D i a g r a m O b j e c t K e y > < K e y > M e a s u r e s \ A v e r a g e   o f   P a t i e n t s   r e m a i n i n g   i n   h o s p i t a l   w h o   n o   l o n g e r   m e e t   t h e   c r i t e r i a   t o   r e s i d e \ T a g I n f o \ V a l u e < / K e y > < / D i a g r a m O b j e c t K e y > < D i a g r a m O b j e c t K e y > < K e y > M e a s u r e s \ S u m   o f   P a t i e n t s   d i s c h a r g e d < / K e y > < / D i a g r a m O b j e c t K e y > < D i a g r a m O b j e c t K e y > < K e y > M e a s u r e s \ S u m   o f   P a t i e n t s   d i s c h a r g e d \ T a g I n f o \ F o r m u l a < / K e y > < / D i a g r a m O b j e c t K e y > < D i a g r a m O b j e c t K e y > < K e y > M e a s u r e s \ S u m   o f   P a t i e n t s   d i s c h a r g e d \ T a g I n f o \ V a l u e < / K e y > < / D i a g r a m O b j e c t K e y > < D i a g r a m O b j e c t K e y > < K e y > C o l u m n s \ I D < / K e y > < / D i a g r a m O b j e c t K e y > < D i a g r a m O b j e c t K e y > < K e y > C o l u m n s \ c r i _ i d < / K e y > < / D i a g r a m O b j e c t K e y > < D i a g r a m O b j e c t K e y > < K e y > C o l u m n s \ d r _ i d < / K e y > < / D i a g r a m O b j e c t K e y > < D i a g r a m O b j e c t K e y > < K e y > C o l u m n s \ o r g _ i d < / K e y > < / D i a g r a m O b j e c t K e y > < D i a g r a m O b j e c t K e y > < K e y > C o l u m n s \ c r i _ d a t a p e r i o d s t a r t < / K e y > < / D i a g r a m O b j e c t K e y > < D i a g r a m O b j e c t K e y > < K e y > C o l u m n s \ R e g i o n < / K e y > < / D i a g r a m O b j e c t K e y > < D i a g r a m O b j e c t K e y > < K e y > C o l u m n s \ C o d e < / K e y > < / D i a g r a m O b j e c t K e y > < D i a g r a m O b j e c t K e y > < K e y > C o l u m n s \ N a m e < / K e y > < / D i a g r a m O b j e c t K e y > < D i a g r a m O b j e c t K e y > < K e y > C o l u m n s \ Y e a r < / K e y > < / D i a g r a m O b j e c t K e y > < D i a g r a m O b j e c t K e y > < K e y > C o l u m n s \ D a t e < / K e y > < / D i a g r a m O b j e c t K e y > < D i a g r a m O b j e c t K e y > < K e y > C o l u m n s \ W e e k < / K e y > < / D i a g r a m O b j e c t K e y > < D i a g r a m O b j e c t K e y > < K e y > C o l u m n s \ D a y < / K e y > < / D i a g r a m O b j e c t K e y > < D i a g r a m O b j e c t K e y > < K e y > C o l u m n s \ P a t i e n t s   w h o   n o   l o n g e r   m e e t   t h e   c r i t e r i a   t o   r e s i d e < / K e y > < / D i a g r a m O b j e c t K e y > < D i a g r a m O b j e c t K e y > < K e y > C o l u m n s \ P a t i e n t s   d i s c h a r g e d < / K e y > < / D i a g r a m O b j e c t K e y > < D i a g r a m O b j e c t K e y > < K e y > C o l u m n s \ P a t i e n t s   r e m a i n i n g   i n   h o s p i t a l   w h o   n o   l o n g e r   m e e t   t h e   c r i t e r i a   t o   r e s i d e < / K e y > < / D i a g r a m O b j e c t K e y > < D i a g r a m O b j e c t K e y > < K e y > L i n k s \ & l t ; C o l u m n s \ C o u n t   o f   P a t i e n t s   w h o   n o   l o n g e r   m e e t   t h e   c r i t e r i a   t o   r e s i d e & g t ; - & l t ; M e a s u r e s \ P a t i e n t s   w h o   n o   l o n g e r   m e e t   t h e   c r i t e r i a   t o   r e s i d e & g t ; < / K e y > < / D i a g r a m O b j e c t K e y > < D i a g r a m O b j e c t K e y > < K e y > L i n k s \ & l t ; C o l u m n s \ C o u n t   o f   P a t i e n t s   w h o   n o   l o n g e r   m e e t   t h e   c r i t e r i a   t o   r e s i d e & g t ; - & l t ; M e a s u r e s \ P a t i e n t s   w h o   n o   l o n g e r   m e e t   t h e   c r i t e r i a   t o   r e s i d e & g t ; \ C O L U M N < / K e y > < / D i a g r a m O b j e c t K e y > < D i a g r a m O b j e c t K e y > < K e y > L i n k s \ & l t ; C o l u m n s \ C o u n t   o f   P a t i e n t s   w h o   n o   l o n g e r   m e e t   t h e   c r i t e r i a   t o   r e s i d e & g t ; - & l t ; M e a s u r e s \ P a t i e n t s   w h o   n o   l o n g e r   m e e t   t h e   c r i t e r i a   t o   r e s i d e & g t ; \ M E A S U R E < / K e y > < / D i a g r a m O b j e c t K e y > < D i a g r a m O b j e c t K e y > < K e y > L i n k s \ & l t ; C o l u m n s \ C o u n t   o f   P a t i e n t s   d i s c h a r g e d & g t ; - & l t ; M e a s u r e s \ P a t i e n t s   d i s c h a r g e d & g t ; < / K e y > < / D i a g r a m O b j e c t K e y > < D i a g r a m O b j e c t K e y > < K e y > L i n k s \ & l t ; C o l u m n s \ C o u n t   o f   P a t i e n t s   d i s c h a r g e d & g t ; - & l t ; M e a s u r e s \ P a t i e n t s   d i s c h a r g e d & g t ; \ C O L U M N < / K e y > < / D i a g r a m O b j e c t K e y > < D i a g r a m O b j e c t K e y > < K e y > L i n k s \ & l t ; C o l u m n s \ C o u n t   o f   P a t i e n t s   d i s c h a r g e d & g t ; - & l t ; M e a s u r e s \ P a t i e n t s   d i s c h a r g e d & g t ; \ M E A S U R E < / K e y > < / D i a g r a m O b j e c t K e y > < D i a g r a m O b j e c t K e y > < K e y > L i n k s \ & l t ; C o l u m n s \ C o u n t   o f   P a t i e n t s   r e m a i n i n g   i n   h o s p i t a l   w h o   n o   l o n g e r   m e e t   t h e   c r i t e r i a   t o   r e s i d e & g t ; - & l t ; M e a s u r e s \ P a t i e n t s   r e m a i n i n g   i n   h o s p i t a l   w h o   n o   l o n g e r   m e e t   t h e   c r i t e r i a   t o   r e s i d e & g t ; < / K e y > < / D i a g r a m O b j e c t K e y > < D i a g r a m O b j e c t K e y > < K e y > L i n k s \ & l t ; C o l u m n s \ C o u n t   o f   P a t i e n t s   r e m a i n i n g   i n   h o s p i t a l   w h o   n o   l o n g e r   m e e t   t h e   c r i t e r i a   t o   r e s i d e & g t ; - & l t ; M e a s u r e s \ P a t i e n t s   r e m a i n i n g   i n   h o s p i t a l   w h o   n o   l o n g e r   m e e t   t h e   c r i t e r i a   t o   r e s i d e & g t ; \ C O L U M N < / K e y > < / D i a g r a m O b j e c t K e y > < D i a g r a m O b j e c t K e y > < K e y > L i n k s \ & l t ; C o l u m n s \ C o u n t   o f   P a t i e n t s   r e m a i n i n g   i n   h o s p i t a l   w h o   n o   l o n g e r   m e e t   t h e   c r i t e r i a   t o   r e s i d e & g t ; - & l t ; M e a s u r e s \ P a t i e n t s   r e m a i n i n g   i n   h o s p i t a l   w h o   n o   l o n g e r   m e e t   t h e   c r i t e r i a   t o   r e s i d e & g t ; \ M E A S U R E < / K e y > < / D i a g r a m O b j e c t K e y > < D i a g r a m O b j e c t K e y > < K e y > L i n k s \ & l t ; C o l u m n s \ S u m   o f   P a t i e n t s   r e m a i n i n g   i n   h o s p i t a l   w h o   n o   l o n g e r   m e e t   t h e   c r i t e r i a   t o   r e s i d e & g t ; - & l t ; M e a s u r e s \ P a t i e n t s   r e m a i n i n g   i n   h o s p i t a l   w h o   n o   l o n g e r   m e e t   t h e   c r i t e r i a   t o   r e s i d e & g t ; < / K e y > < / D i a g r a m O b j e c t K e y > < D i a g r a m O b j e c t K e y > < K e y > L i n k s \ & l t ; C o l u m n s \ S u m   o f   P a t i e n t s   r e m a i n i n g   i n   h o s p i t a l   w h o   n o   l o n g e r   m e e t   t h e   c r i t e r i a   t o   r e s i d e & g t ; - & l t ; M e a s u r e s \ P a t i e n t s   r e m a i n i n g   i n   h o s p i t a l   w h o   n o   l o n g e r   m e e t   t h e   c r i t e r i a   t o   r e s i d e & g t ; \ C O L U M N < / K e y > < / D i a g r a m O b j e c t K e y > < D i a g r a m O b j e c t K e y > < K e y > L i n k s \ & l t ; C o l u m n s \ S u m   o f   P a t i e n t s   r e m a i n i n g   i n   h o s p i t a l   w h o   n o   l o n g e r   m e e t   t h e   c r i t e r i a   t o   r e s i d e & g t ; - & l t ; M e a s u r e s \ P a t i e n t s   r e m a i n i n g   i n   h o s p i t a l   w h o   n o   l o n g e r   m e e t   t h e   c r i t e r i a   t o   r e s i d e & g t ; \ M E A S U R E < / K e y > < / D i a g r a m O b j e c t K e y > < D i a g r a m O b j e c t K e y > < K e y > L i n k s \ & l t ; C o l u m n s \ S u m   o f   P a t i e n t s   w h o   n o   l o n g e r   m e e t   t h e   c r i t e r i a   t o   r e s i d e & g t ; - & l t ; M e a s u r e s \ P a t i e n t s   w h o   n o   l o n g e r   m e e t   t h e   c r i t e r i a   t o   r e s i d e & g t ; < / K e y > < / D i a g r a m O b j e c t K e y > < D i a g r a m O b j e c t K e y > < K e y > L i n k s \ & l t ; C o l u m n s \ S u m   o f   P a t i e n t s   w h o   n o   l o n g e r   m e e t   t h e   c r i t e r i a   t o   r e s i d e & g t ; - & l t ; M e a s u r e s \ P a t i e n t s   w h o   n o   l o n g e r   m e e t   t h e   c r i t e r i a   t o   r e s i d e & g t ; \ C O L U M N < / K e y > < / D i a g r a m O b j e c t K e y > < D i a g r a m O b j e c t K e y > < K e y > L i n k s \ & l t ; C o l u m n s \ S u m   o f   P a t i e n t s   w h o   n o   l o n g e r   m e e t   t h e   c r i t e r i a   t o   r e s i d e & g t ; - & l t ; M e a s u r e s \ P a t i e n t s   w h o   n o   l o n g e r   m e e t   t h e   c r i t e r i a   t o   r e s i d e & g t ; \ M E A S U R E < / K e y > < / D i a g r a m O b j e c t K e y > < D i a g r a m O b j e c t K e y > < K e y > L i n k s \ & l t ; C o l u m n s \ A v e r a g e   o f   P a t i e n t s   w h o   n o   l o n g e r   m e e t   t h e   c r i t e r i a   t o   r e s i d e & g t ; - & l t ; M e a s u r e s \ P a t i e n t s   w h o   n o   l o n g e r   m e e t   t h e   c r i t e r i a   t o   r e s i d e & g t ; < / K e y > < / D i a g r a m O b j e c t K e y > < D i a g r a m O b j e c t K e y > < K e y > L i n k s \ & l t ; C o l u m n s \ A v e r a g e   o f   P a t i e n t s   w h o   n o   l o n g e r   m e e t   t h e   c r i t e r i a   t o   r e s i d e & g t ; - & l t ; M e a s u r e s \ P a t i e n t s   w h o   n o   l o n g e r   m e e t   t h e   c r i t e r i a   t o   r e s i d e & g t ; \ C O L U M N < / K e y > < / D i a g r a m O b j e c t K e y > < D i a g r a m O b j e c t K e y > < K e y > L i n k s \ & l t ; C o l u m n s \ A v e r a g e   o f   P a t i e n t s   w h o   n o   l o n g e r   m e e t   t h e   c r i t e r i a   t o   r e s i d e & g t ; - & l t ; M e a s u r e s \ P a t i e n t s   w h o   n o   l o n g e r   m e e t   t h e   c r i t e r i a   t o   r e s i d e & g t ; \ M E A S U R E < / K e y > < / D i a g r a m O b j e c t K e y > < D i a g r a m O b j e c t K e y > < K e y > L i n k s \ & l t ; C o l u m n s \ A v e r a g e   o f   P a t i e n t s   r e m a i n i n g   i n   h o s p i t a l   w h o   n o   l o n g e r   m e e t   t h e   c r i t e r i a   t o   r e s i d e & g t ; - & l t ; M e a s u r e s \ P a t i e n t s   r e m a i n i n g   i n   h o s p i t a l   w h o   n o   l o n g e r   m e e t   t h e   c r i t e r i a   t o   r e s i d e & g t ; < / K e y > < / D i a g r a m O b j e c t K e y > < D i a g r a m O b j e c t K e y > < K e y > L i n k s \ & l t ; C o l u m n s \ A v e r a g e   o f   P a t i e n t s   r e m a i n i n g   i n   h o s p i t a l   w h o   n o   l o n g e r   m e e t   t h e   c r i t e r i a   t o   r e s i d e & g t ; - & l t ; M e a s u r e s \ P a t i e n t s   r e m a i n i n g   i n   h o s p i t a l   w h o   n o   l o n g e r   m e e t   t h e   c r i t e r i a   t o   r e s i d e & g t ; \ C O L U M N < / K e y > < / D i a g r a m O b j e c t K e y > < D i a g r a m O b j e c t K e y > < K e y > L i n k s \ & l t ; C o l u m n s \ A v e r a g e   o f   P a t i e n t s   r e m a i n i n g   i n   h o s p i t a l   w h o   n o   l o n g e r   m e e t   t h e   c r i t e r i a   t o   r e s i d e & g t ; - & l t ; M e a s u r e s \ P a t i e n t s   r e m a i n i n g   i n   h o s p i t a l   w h o   n o   l o n g e r   m e e t   t h e   c r i t e r i a   t o   r e s i d e & g t ; \ M E A S U R E < / K e y > < / D i a g r a m O b j e c t K e y > < D i a g r a m O b j e c t K e y > < K e y > L i n k s \ & l t ; C o l u m n s \ S u m   o f   P a t i e n t s   d i s c h a r g e d & g t ; - & l t ; M e a s u r e s \ P a t i e n t s   d i s c h a r g e d & g t ; < / K e y > < / D i a g r a m O b j e c t K e y > < D i a g r a m O b j e c t K e y > < K e y > L i n k s \ & l t ; C o l u m n s \ S u m   o f   P a t i e n t s   d i s c h a r g e d & g t ; - & l t ; M e a s u r e s \ P a t i e n t s   d i s c h a r g e d & g t ; \ C O L U M N < / K e y > < / D i a g r a m O b j e c t K e y > < D i a g r a m O b j e c t K e y > < K e y > L i n k s \ & l t ; C o l u m n s \ S u m   o f   P a t i e n t s   d i s c h a r g e d & g t ; - & l t ; M e a s u r e s \ P a t i e n t s   d i s c h a r g e d & g t ; \ M E A S U R E 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 P a t i e n t s   w h o   n o   l o n g e r   m e e t   t h e   c r i t e r i a   t o   r e s i d e < / K e y > < / a : K e y > < a : V a l u e   i : t y p e = " M e a s u r e G r i d N o d e V i e w S t a t e " > < C o l u m n > 1 2 < / C o l u m n > < L a y e d O u t > t r u e < / L a y e d O u t > < W a s U I I n v i s i b l e > t r u e < / W a s U I I n v i s i b l e > < / a : V a l u e > < / a : K e y V a l u e O f D i a g r a m O b j e c t K e y a n y T y p e z b w N T n L X > < a : K e y V a l u e O f D i a g r a m O b j e c t K e y a n y T y p e z b w N T n L X > < a : K e y > < K e y > M e a s u r e s \ C o u n t   o f   P a t i e n t s   w h o   n o   l o n g e r   m e e t   t h e   c r i t e r i a   t o   r e s i d e \ T a g I n f o \ F o r m u l a < / K e y > < / a : K e y > < a : V a l u e   i : t y p e = " M e a s u r e G r i d V i e w S t a t e I D i a g r a m T a g A d d i t i o n a l I n f o " / > < / a : K e y V a l u e O f D i a g r a m O b j e c t K e y a n y T y p e z b w N T n L X > < a : K e y V a l u e O f D i a g r a m O b j e c t K e y a n y T y p e z b w N T n L X > < a : K e y > < K e y > M e a s u r e s \ C o u n t   o f   P a t i e n t s   w h o   n o   l o n g e r   m e e t   t h e   c r i t e r i a   t o   r e s i d e \ T a g I n f o \ V a l u e < / K e y > < / a : K e y > < a : V a l u e   i : t y p e = " M e a s u r e G r i d V i e w S t a t e I D i a g r a m T a g A d d i t i o n a l I n f o " / > < / a : K e y V a l u e O f D i a g r a m O b j e c t K e y a n y T y p e z b w N T n L X > < a : K e y V a l u e O f D i a g r a m O b j e c t K e y a n y T y p e z b w N T n L X > < a : K e y > < K e y > M e a s u r e s \ C o u n t   o f   P a t i e n t s   d i s c h a r g e d < / K e y > < / a : K e y > < a : V a l u e   i : t y p e = " M e a s u r e G r i d N o d e V i e w S t a t e " > < C o l u m n > 1 3 < / C o l u m n > < L a y e d O u t > t r u e < / L a y e d O u t > < W a s U I I n v i s i b l e > t r u e < / W a s U I I n v i s i b l e > < / a : V a l u e > < / a : K e y V a l u e O f D i a g r a m O b j e c t K e y a n y T y p e z b w N T n L X > < a : K e y V a l u e O f D i a g r a m O b j e c t K e y a n y T y p e z b w N T n L X > < a : K e y > < K e y > M e a s u r e s \ C o u n t   o f   P a t i e n t s   d i s c h a r g e d \ T a g I n f o \ F o r m u l a < / K e y > < / a : K e y > < a : V a l u e   i : t y p e = " M e a s u r e G r i d V i e w S t a t e I D i a g r a m T a g A d d i t i o n a l I n f o " / > < / a : K e y V a l u e O f D i a g r a m O b j e c t K e y a n y T y p e z b w N T n L X > < a : K e y V a l u e O f D i a g r a m O b j e c t K e y a n y T y p e z b w N T n L X > < a : K e y > < K e y > M e a s u r e s \ C o u n t   o f   P a t i e n t s   d i s c h a r g e d \ T a g I n f o \ V a l u e < / K e y > < / a : K e y > < a : V a l u e   i : t y p e = " M e a s u r e G r i d V i e w S t a t e I D i a g r a m T a g A d d i t i o n a l I n f o " / > < / a : K e y V a l u e O f D i a g r a m O b j e c t K e y a n y T y p e z b w N T n L X > < a : K e y V a l u e O f D i a g r a m O b j e c t K e y a n y T y p e z b w N T n L X > < a : K e y > < K e y > M e a s u r e s \ C o u n t   o f   P a t i e n t s   r e m a i n i n g   i n   h o s p i t a l   w h o   n o   l o n g e r   m e e t   t h e   c r i t e r i a   t o   r e s i d e < / K e y > < / a : K e y > < a : V a l u e   i : t y p e = " M e a s u r e G r i d N o d e V i e w S t a t e " > < C o l u m n > 1 4 < / C o l u m n > < L a y e d O u t > t r u e < / L a y e d O u t > < W a s U I I n v i s i b l e > t r u e < / W a s U I I n v i s i b l e > < / a : V a l u e > < / a : K e y V a l u e O f D i a g r a m O b j e c t K e y a n y T y p e z b w N T n L X > < a : K e y V a l u e O f D i a g r a m O b j e c t K e y a n y T y p e z b w N T n L X > < a : K e y > < K e y > M e a s u r e s \ C o u n t   o f   P a t i e n t s   r e m a i n i n g   i n   h o s p i t a l   w h o   n o   l o n g e r   m e e t   t h e   c r i t e r i a   t o   r e s i d e \ T a g I n f o \ F o r m u l a < / K e y > < / a : K e y > < a : V a l u e   i : t y p e = " M e a s u r e G r i d V i e w S t a t e I D i a g r a m T a g A d d i t i o n a l I n f o " / > < / a : K e y V a l u e O f D i a g r a m O b j e c t K e y a n y T y p e z b w N T n L X > < a : K e y V a l u e O f D i a g r a m O b j e c t K e y a n y T y p e z b w N T n L X > < a : K e y > < K e y > M e a s u r e s \ C o u n t   o f   P a t i e n t s   r e m a i n i n g   i n   h o s p i t a l   w h o   n o   l o n g e r   m e e t   t h e   c r i t e r i a   t o   r e s i d e \ T a g I n f o \ V a l u e < / K e y > < / a : K e y > < a : V a l u e   i : t y p e = " M e a s u r e G r i d V i e w S t a t e I D i a g r a m T a g A d d i t i o n a l I n f o " / > < / a : K e y V a l u e O f D i a g r a m O b j e c t K e y a n y T y p e z b w N T n L X > < a : K e y V a l u e O f D i a g r a m O b j e c t K e y a n y T y p e z b w N T n L X > < a : K e y > < K e y > M e a s u r e s \ S u m   o f   P a t i e n t s   r e m a i n i n g   i n   h o s p i t a l   w h o   n o   l o n g e r   m e e t   t h e   c r i t e r i a   t o   r e s i d e < / K e y > < / a : K e y > < a : V a l u e   i : t y p e = " M e a s u r e G r i d N o d e V i e w S t a t e " > < C o l u m n > 1 4 < / C o l u m n > < L a y e d O u t > t r u e < / L a y e d O u t > < W a s U I I n v i s i b l e > t r u e < / W a s U I I n v i s i b l e > < / a : V a l u e > < / a : K e y V a l u e O f D i a g r a m O b j e c t K e y a n y T y p e z b w N T n L X > < a : K e y V a l u e O f D i a g r a m O b j e c t K e y a n y T y p e z b w N T n L X > < a : K e y > < K e y > M e a s u r e s \ S u m   o f   P a t i e n t s   r e m a i n i n g   i n   h o s p i t a l   w h o   n o   l o n g e r   m e e t   t h e   c r i t e r i a   t o   r e s i d e \ T a g I n f o \ F o r m u l a < / K e y > < / a : K e y > < a : V a l u e   i : t y p e = " M e a s u r e G r i d V i e w S t a t e I D i a g r a m T a g A d d i t i o n a l I n f o " / > < / a : K e y V a l u e O f D i a g r a m O b j e c t K e y a n y T y p e z b w N T n L X > < a : K e y V a l u e O f D i a g r a m O b j e c t K e y a n y T y p e z b w N T n L X > < a : K e y > < K e y > M e a s u r e s \ S u m   o f   P a t i e n t s   r e m a i n i n g   i n   h o s p i t a l   w h o   n o   l o n g e r   m e e t   t h e   c r i t e r i a   t o   r e s i d e \ T a g I n f o \ V a l u e < / K e y > < / a : K e y > < a : V a l u e   i : t y p e = " M e a s u r e G r i d V i e w S t a t e I D i a g r a m T a g A d d i t i o n a l I n f o " / > < / a : K e y V a l u e O f D i a g r a m O b j e c t K e y a n y T y p e z b w N T n L X > < a : K e y V a l u e O f D i a g r a m O b j e c t K e y a n y T y p e z b w N T n L X > < a : K e y > < K e y > M e a s u r e s \ S u m   o f   P a t i e n t s   w h o   n o   l o n g e r   m e e t   t h e   c r i t e r i a   t o   r e s i d e < / K e y > < / a : K e y > < a : V a l u e   i : t y p e = " M e a s u r e G r i d N o d e V i e w S t a t e " > < C o l u m n > 1 2 < / C o l u m n > < L a y e d O u t > t r u e < / L a y e d O u t > < W a s U I I n v i s i b l e > t r u e < / W a s U I I n v i s i b l e > < / a : V a l u e > < / a : K e y V a l u e O f D i a g r a m O b j e c t K e y a n y T y p e z b w N T n L X > < a : K e y V a l u e O f D i a g r a m O b j e c t K e y a n y T y p e z b w N T n L X > < a : K e y > < K e y > M e a s u r e s \ S u m   o f   P a t i e n t s   w h o   n o   l o n g e r   m e e t   t h e   c r i t e r i a   t o   r e s i d e \ T a g I n f o \ F o r m u l a < / K e y > < / a : K e y > < a : V a l u e   i : t y p e = " M e a s u r e G r i d V i e w S t a t e I D i a g r a m T a g A d d i t i o n a l I n f o " / > < / a : K e y V a l u e O f D i a g r a m O b j e c t K e y a n y T y p e z b w N T n L X > < a : K e y V a l u e O f D i a g r a m O b j e c t K e y a n y T y p e z b w N T n L X > < a : K e y > < K e y > M e a s u r e s \ S u m   o f   P a t i e n t s   w h o   n o   l o n g e r   m e e t   t h e   c r i t e r i a   t o   r e s i d e \ T a g I n f o \ V a l u e < / K e y > < / a : K e y > < a : V a l u e   i : t y p e = " M e a s u r e G r i d V i e w S t a t e I D i a g r a m T a g A d d i t i o n a l I n f o " / > < / a : K e y V a l u e O f D i a g r a m O b j e c t K e y a n y T y p e z b w N T n L X > < a : K e y V a l u e O f D i a g r a m O b j e c t K e y a n y T y p e z b w N T n L X > < a : K e y > < K e y > M e a s u r e s \ A v e r a g e   o f   P a t i e n t s   w h o   n o   l o n g e r   m e e t   t h e   c r i t e r i a   t o   r e s i d e < / K e y > < / a : K e y > < a : V a l u e   i : t y p e = " M e a s u r e G r i d N o d e V i e w S t a t e " > < C o l u m n > 1 2 < / C o l u m n > < L a y e d O u t > t r u e < / L a y e d O u t > < W a s U I I n v i s i b l e > t r u e < / W a s U I I n v i s i b l e > < / a : V a l u e > < / a : K e y V a l u e O f D i a g r a m O b j e c t K e y a n y T y p e z b w N T n L X > < a : K e y V a l u e O f D i a g r a m O b j e c t K e y a n y T y p e z b w N T n L X > < a : K e y > < K e y > M e a s u r e s \ A v e r a g e   o f   P a t i e n t s   w h o   n o   l o n g e r   m e e t   t h e   c r i t e r i a   t o   r e s i d e \ T a g I n f o \ F o r m u l a < / K e y > < / a : K e y > < a : V a l u e   i : t y p e = " M e a s u r e G r i d V i e w S t a t e I D i a g r a m T a g A d d i t i o n a l I n f o " / > < / a : K e y V a l u e O f D i a g r a m O b j e c t K e y a n y T y p e z b w N T n L X > < a : K e y V a l u e O f D i a g r a m O b j e c t K e y a n y T y p e z b w N T n L X > < a : K e y > < K e y > M e a s u r e s \ A v e r a g e   o f   P a t i e n t s   w h o   n o   l o n g e r   m e e t   t h e   c r i t e r i a   t o   r e s i d e \ T a g I n f o \ V a l u e < / K e y > < / a : K e y > < a : V a l u e   i : t y p e = " M e a s u r e G r i d V i e w S t a t e I D i a g r a m T a g A d d i t i o n a l I n f o " / > < / a : K e y V a l u e O f D i a g r a m O b j e c t K e y a n y T y p e z b w N T n L X > < a : K e y V a l u e O f D i a g r a m O b j e c t K e y a n y T y p e z b w N T n L X > < a : K e y > < K e y > M e a s u r e s \ A v e r a g e   o f   P a t i e n t s   r e m a i n i n g   i n   h o s p i t a l   w h o   n o   l o n g e r   m e e t   t h e   c r i t e r i a   t o   r e s i d e < / K e y > < / a : K e y > < a : V a l u e   i : t y p e = " M e a s u r e G r i d N o d e V i e w S t a t e " > < C o l u m n > 1 4 < / C o l u m n > < L a y e d O u t > t r u e < / L a y e d O u t > < W a s U I I n v i s i b l e > t r u e < / W a s U I I n v i s i b l e > < / a : V a l u e > < / a : K e y V a l u e O f D i a g r a m O b j e c t K e y a n y T y p e z b w N T n L X > < a : K e y V a l u e O f D i a g r a m O b j e c t K e y a n y T y p e z b w N T n L X > < a : K e y > < K e y > M e a s u r e s \ A v e r a g e   o f   P a t i e n t s   r e m a i n i n g   i n   h o s p i t a l   w h o   n o   l o n g e r   m e e t   t h e   c r i t e r i a   t o   r e s i d e \ T a g I n f o \ F o r m u l a < / K e y > < / a : K e y > < a : V a l u e   i : t y p e = " M e a s u r e G r i d V i e w S t a t e I D i a g r a m T a g A d d i t i o n a l I n f o " / > < / a : K e y V a l u e O f D i a g r a m O b j e c t K e y a n y T y p e z b w N T n L X > < a : K e y V a l u e O f D i a g r a m O b j e c t K e y a n y T y p e z b w N T n L X > < a : K e y > < K e y > M e a s u r e s \ A v e r a g e   o f   P a t i e n t s   r e m a i n i n g   i n   h o s p i t a l   w h o   n o   l o n g e r   m e e t   t h e   c r i t e r i a   t o   r e s i d e \ T a g I n f o \ V a l u e < / K e y > < / a : K e y > < a : V a l u e   i : t y p e = " M e a s u r e G r i d V i e w S t a t e I D i a g r a m T a g A d d i t i o n a l I n f o " / > < / a : K e y V a l u e O f D i a g r a m O b j e c t K e y a n y T y p e z b w N T n L X > < a : K e y V a l u e O f D i a g r a m O b j e c t K e y a n y T y p e z b w N T n L X > < a : K e y > < K e y > M e a s u r e s \ S u m   o f   P a t i e n t s   d i s c h a r g e d < / K e y > < / a : K e y > < a : V a l u e   i : t y p e = " M e a s u r e G r i d N o d e V i e w S t a t e " > < C o l u m n > 1 3 < / C o l u m n > < L a y e d O u t > t r u e < / L a y e d O u t > < W a s U I I n v i s i b l e > t r u e < / W a s U I I n v i s i b l e > < / a : V a l u e > < / a : K e y V a l u e O f D i a g r a m O b j e c t K e y a n y T y p e z b w N T n L X > < a : K e y V a l u e O f D i a g r a m O b j e c t K e y a n y T y p e z b w N T n L X > < a : K e y > < K e y > M e a s u r e s \ S u m   o f   P a t i e n t s   d i s c h a r g e d \ T a g I n f o \ F o r m u l a < / K e y > < / a : K e y > < a : V a l u e   i : t y p e = " M e a s u r e G r i d V i e w S t a t e I D i a g r a m T a g A d d i t i o n a l I n f o " / > < / a : K e y V a l u e O f D i a g r a m O b j e c t K e y a n y T y p e z b w N T n L X > < a : K e y V a l u e O f D i a g r a m O b j e c t K e y a n y T y p e z b w N T n L X > < a : K e y > < K e y > M e a s u r e s \ S u m   o f   P a t i e n t s   d i s c h a r g e d \ T a g I n f o \ V a l u e < / K e y > < / a : K e y > < a : V a l u e   i : t y p e = " M e a s u r e G r i d V i e w S t a t e I D i a g r a m T a g A d d i t i o n a l I n f o " / > < / a : K e y V a l u e O f D i a g r a m O b j e c t K e y a n y T y p e z b w N T n L X > < a : K e y V a l u e O f D i a g r a m O b j e c t K e y a n y T y p e z b w N T n L X > < a : K e y > < K e y > C o l u m n s \ I D < / K e y > < / a : K e y > < a : V a l u e   i : t y p e = " M e a s u r e G r i d N o d e V i e w S t a t e " > < L a y e d O u t > t r u e < / L a y e d O u t > < / a : V a l u e > < / a : K e y V a l u e O f D i a g r a m O b j e c t K e y a n y T y p e z b w N T n L X > < a : K e y V a l u e O f D i a g r a m O b j e c t K e y a n y T y p e z b w N T n L X > < a : K e y > < K e y > C o l u m n s \ c r i _ i d < / K e y > < / a : K e y > < a : V a l u e   i : t y p e = " M e a s u r e G r i d N o d e V i e w S t a t e " > < C o l u m n > 1 < / C o l u m n > < L a y e d O u t > t r u e < / L a y e d O u t > < / a : V a l u e > < / a : K e y V a l u e O f D i a g r a m O b j e c t K e y a n y T y p e z b w N T n L X > < a : K e y V a l u e O f D i a g r a m O b j e c t K e y a n y T y p e z b w N T n L X > < a : K e y > < K e y > C o l u m n s \ d r _ i d < / K e y > < / a : K e y > < a : V a l u e   i : t y p e = " M e a s u r e G r i d N o d e V i e w S t a t e " > < C o l u m n > 2 < / C o l u m n > < L a y e d O u t > t r u e < / L a y e d O u t > < / a : V a l u e > < / a : K e y V a l u e O f D i a g r a m O b j e c t K e y a n y T y p e z b w N T n L X > < a : K e y V a l u e O f D i a g r a m O b j e c t K e y a n y T y p e z b w N T n L X > < a : K e y > < K e y > C o l u m n s \ o r g _ i d < / K e y > < / a : K e y > < a : V a l u e   i : t y p e = " M e a s u r e G r i d N o d e V i e w S t a t e " > < C o l u m n > 3 < / C o l u m n > < L a y e d O u t > t r u e < / L a y e d O u t > < / a : V a l u e > < / a : K e y V a l u e O f D i a g r a m O b j e c t K e y a n y T y p e z b w N T n L X > < a : K e y V a l u e O f D i a g r a m O b j e c t K e y a n y T y p e z b w N T n L X > < a : K e y > < K e y > C o l u m n s \ c r i _ d a t a p e r i o d s t a r t < / K e y > < / a : K e y > < a : V a l u e   i : t y p e = " M e a s u r e G r i d N o d e V i e w S t a t e " > < C o l u m n > 4 < / C o l u m n > < L a y e d O u t > t r u e < / L a y e d O u t > < / a : V a l u e > < / a : K e y V a l u e O f D i a g r a m O b j e c t K e y a n y T y p e z b w N T n L X > < a : K e y V a l u e O f D i a g r a m O b j e c t K e y a n y T y p e z b w N T n L X > < a : K e y > < K e y > C o l u m n s \ R e g i o n < / K e y > < / a : K e y > < a : V a l u e   i : t y p e = " M e a s u r e G r i d N o d e V i e w S t a t e " > < C o l u m n > 5 < / C o l u m n > < L a y e d O u t > t r u e < / L a y e d O u t > < / a : V a l u e > < / a : K e y V a l u e O f D i a g r a m O b j e c t K e y a n y T y p e z b w N T n L X > < a : K e y V a l u e O f D i a g r a m O b j e c t K e y a n y T y p e z b w N T n L X > < a : K e y > < K e y > C o l u m n s \ C o d e < / K e y > < / a : K e y > < a : V a l u e   i : t y p e = " M e a s u r e G r i d N o d e V i e w S t a t e " > < C o l u m n > 6 < / C o l u m n > < L a y e d O u t > t r u e < / L a y e d O u t > < / a : V a l u e > < / a : K e y V a l u e O f D i a g r a m O b j e c t K e y a n y T y p e z b w N T n L X > < a : K e y V a l u e O f D i a g r a m O b j e c t K e y a n y T y p e z b w N T n L X > < a : K e y > < K e y > C o l u m n s \ N a m e < / K e y > < / a : K e y > < a : V a l u e   i : t y p e = " M e a s u r e G r i d N o d e V i e w S t a t e " > < C o l u m n > 7 < / C o l u m n > < L a y e d O u t > t r u e < / L a y e d O u t > < / a : V a l u e > < / a : K e y V a l u e O f D i a g r a m O b j e c t K e y a n y T y p e z b w N T n L X > < a : K e y V a l u e O f D i a g r a m O b j e c t K e y a n y T y p e z b w N T n L X > < a : K e y > < K e y > C o l u m n s \ Y e a r < / K e y > < / a : K e y > < a : V a l u e   i : t y p e = " M e a s u r e G r i d N o d e V i e w S t a t e " > < C o l u m n > 8 < / C o l u m n > < L a y e d O u t > t r u e < / L a y e d O u t > < / a : V a l u e > < / a : K e y V a l u e O f D i a g r a m O b j e c t K e y a n y T y p e z b w N T n L X > < a : K e y V a l u e O f D i a g r a m O b j e c t K e y a n y T y p e z b w N T n L X > < a : K e y > < K e y > C o l u m n s \ D a t e < / K e y > < / a : K e y > < a : V a l u e   i : t y p e = " M e a s u r e G r i d N o d e V i e w S t a t e " > < C o l u m n > 9 < / C o l u m n > < L a y e d O u t > t r u e < / L a y e d O u t > < / a : V a l u e > < / a : K e y V a l u e O f D i a g r a m O b j e c t K e y a n y T y p e z b w N T n L X > < a : K e y V a l u e O f D i a g r a m O b j e c t K e y a n y T y p e z b w N T n L X > < a : K e y > < K e y > C o l u m n s \ W e e k < / K e y > < / a : K e y > < a : V a l u e   i : t y p e = " M e a s u r e G r i d N o d e V i e w S t a t e " > < C o l u m n > 1 0 < / C o l u m n > < L a y e d O u t > t r u e < / L a y e d O u t > < / a : V a l u e > < / a : K e y V a l u e O f D i a g r a m O b j e c t K e y a n y T y p e z b w N T n L X > < a : K e y V a l u e O f D i a g r a m O b j e c t K e y a n y T y p e z b w N T n L X > < a : K e y > < K e y > C o l u m n s \ D a y < / K e y > < / a : K e y > < a : V a l u e   i : t y p e = " M e a s u r e G r i d N o d e V i e w S t a t e " > < C o l u m n > 1 1 < / C o l u m n > < L a y e d O u t > t r u e < / L a y e d O u t > < / a : V a l u e > < / a : K e y V a l u e O f D i a g r a m O b j e c t K e y a n y T y p e z b w N T n L X > < a : K e y V a l u e O f D i a g r a m O b j e c t K e y a n y T y p e z b w N T n L X > < a : K e y > < K e y > C o l u m n s \ P a t i e n t s   w h o   n o   l o n g e r   m e e t   t h e   c r i t e r i a   t o   r e s i d e < / K e y > < / a : K e y > < a : V a l u e   i : t y p e = " M e a s u r e G r i d N o d e V i e w S t a t e " > < C o l u m n > 1 2 < / C o l u m n > < L a y e d O u t > t r u e < / L a y e d O u t > < / a : V a l u e > < / a : K e y V a l u e O f D i a g r a m O b j e c t K e y a n y T y p e z b w N T n L X > < a : K e y V a l u e O f D i a g r a m O b j e c t K e y a n y T y p e z b w N T n L X > < a : K e y > < K e y > C o l u m n s \ P a t i e n t s   d i s c h a r g e d < / K e y > < / a : K e y > < a : V a l u e   i : t y p e = " M e a s u r e G r i d N o d e V i e w S t a t e " > < C o l u m n > 1 3 < / C o l u m n > < L a y e d O u t > t r u e < / L a y e d O u t > < / a : V a l u e > < / a : K e y V a l u e O f D i a g r a m O b j e c t K e y a n y T y p e z b w N T n L X > < a : K e y V a l u e O f D i a g r a m O b j e c t K e y a n y T y p e z b w N T n L X > < a : K e y > < K e y > C o l u m n s \ P a t i e n t s   r e m a i n i n g   i n   h o s p i t a l   w h o   n o   l o n g e r   m e e t   t h e   c r i t e r i a   t o   r e s i d e < / K e y > < / a : K e y > < a : V a l u e   i : t y p e = " M e a s u r e G r i d N o d e V i e w S t a t e " > < C o l u m n > 1 4 < / C o l u m n > < L a y e d O u t > t r u e < / L a y e d O u t > < / a : V a l u e > < / a : K e y V a l u e O f D i a g r a m O b j e c t K e y a n y T y p e z b w N T n L X > < a : K e y V a l u e O f D i a g r a m O b j e c t K e y a n y T y p e z b w N T n L X > < a : K e y > < K e y > L i n k s \ & l t ; C o l u m n s \ C o u n t   o f   P a t i e n t s   w h o   n o   l o n g e r   m e e t   t h e   c r i t e r i a   t o   r e s i d e & g t ; - & l t ; M e a s u r e s \ P a t i e n t s   w h o   n o   l o n g e r   m e e t   t h e   c r i t e r i a   t o   r e s i d e & g t ; < / K e y > < / a : K e y > < a : V a l u e   i : t y p e = " M e a s u r e G r i d V i e w S t a t e I D i a g r a m L i n k " / > < / a : K e y V a l u e O f D i a g r a m O b j e c t K e y a n y T y p e z b w N T n L X > < a : K e y V a l u e O f D i a g r a m O b j e c t K e y a n y T y p e z b w N T n L X > < a : K e y > < K e y > L i n k s \ & l t ; C o l u m n s \ C o u n t   o f   P a t i e n t s   w h o   n o   l o n g e r   m e e t   t h e   c r i t e r i a   t o   r e s i d e & g t ; - & l t ; M e a s u r e s \ P a t i e n t s   w h o   n o   l o n g e r   m e e t   t h e   c r i t e r i a   t o   r e s i d e & g t ; \ C O L U M N < / K e y > < / a : K e y > < a : V a l u e   i : t y p e = " M e a s u r e G r i d V i e w S t a t e I D i a g r a m L i n k E n d p o i n t " / > < / a : K e y V a l u e O f D i a g r a m O b j e c t K e y a n y T y p e z b w N T n L X > < a : K e y V a l u e O f D i a g r a m O b j e c t K e y a n y T y p e z b w N T n L X > < a : K e y > < K e y > L i n k s \ & l t ; C o l u m n s \ C o u n t   o f   P a t i e n t s   w h o   n o   l o n g e r   m e e t   t h e   c r i t e r i a   t o   r e s i d e & g t ; - & l t ; M e a s u r e s \ P a t i e n t s   w h o   n o   l o n g e r   m e e t   t h e   c r i t e r i a   t o   r e s i d e & g t ; \ M E A S U R E < / K e y > < / a : K e y > < a : V a l u e   i : t y p e = " M e a s u r e G r i d V i e w S t a t e I D i a g r a m L i n k E n d p o i n t " / > < / a : K e y V a l u e O f D i a g r a m O b j e c t K e y a n y T y p e z b w N T n L X > < a : K e y V a l u e O f D i a g r a m O b j e c t K e y a n y T y p e z b w N T n L X > < a : K e y > < K e y > L i n k s \ & l t ; C o l u m n s \ C o u n t   o f   P a t i e n t s   d i s c h a r g e d & g t ; - & l t ; M e a s u r e s \ P a t i e n t s   d i s c h a r g e d & g t ; < / K e y > < / a : K e y > < a : V a l u e   i : t y p e = " M e a s u r e G r i d V i e w S t a t e I D i a g r a m L i n k " / > < / a : K e y V a l u e O f D i a g r a m O b j e c t K e y a n y T y p e z b w N T n L X > < a : K e y V a l u e O f D i a g r a m O b j e c t K e y a n y T y p e z b w N T n L X > < a : K e y > < K e y > L i n k s \ & l t ; C o l u m n s \ C o u n t   o f   P a t i e n t s   d i s c h a r g e d & g t ; - & l t ; M e a s u r e s \ P a t i e n t s   d i s c h a r g e d & g t ; \ C O L U M N < / K e y > < / a : K e y > < a : V a l u e   i : t y p e = " M e a s u r e G r i d V i e w S t a t e I D i a g r a m L i n k E n d p o i n t " / > < / a : K e y V a l u e O f D i a g r a m O b j e c t K e y a n y T y p e z b w N T n L X > < a : K e y V a l u e O f D i a g r a m O b j e c t K e y a n y T y p e z b w N T n L X > < a : K e y > < K e y > L i n k s \ & l t ; C o l u m n s \ C o u n t   o f   P a t i e n t s   d i s c h a r g e d & g t ; - & l t ; M e a s u r e s \ P a t i e n t s   d i s c h a r g e d & g t ; \ M E A S U R E < / K e y > < / a : K e y > < a : V a l u e   i : t y p e = " M e a s u r e G r i d V i e w S t a t e I D i a g r a m L i n k E n d p o i n t " / > < / a : K e y V a l u e O f D i a g r a m O b j e c t K e y a n y T y p e z b w N T n L X > < a : K e y V a l u e O f D i a g r a m O b j e c t K e y a n y T y p e z b w N T n L X > < a : K e y > < K e y > L i n k s \ & l t ; C o l u m n s \ C o u n t   o f   P a t i e n t s   r e m a i n i n g   i n   h o s p i t a l   w h o   n o   l o n g e r   m e e t   t h e   c r i t e r i a   t o   r e s i d e & g t ; - & l t ; M e a s u r e s \ P a t i e n t s   r e m a i n i n g   i n   h o s p i t a l   w h o   n o   l o n g e r   m e e t   t h e   c r i t e r i a   t o   r e s i d e & g t ; < / K e y > < / a : K e y > < a : V a l u e   i : t y p e = " M e a s u r e G r i d V i e w S t a t e I D i a g r a m L i n k " / > < / a : K e y V a l u e O f D i a g r a m O b j e c t K e y a n y T y p e z b w N T n L X > < a : K e y V a l u e O f D i a g r a m O b j e c t K e y a n y T y p e z b w N T n L X > < a : K e y > < K e y > L i n k s \ & l t ; C o l u m n s \ C o u n t   o f   P a t i e n t s   r e m a i n i n g   i n   h o s p i t a l   w h o   n o   l o n g e r   m e e t   t h e   c r i t e r i a   t o   r e s i d e & g t ; - & l t ; M e a s u r e s \ P a t i e n t s   r e m a i n i n g   i n   h o s p i t a l   w h o   n o   l o n g e r   m e e t   t h e   c r i t e r i a   t o   r e s i d e & g t ; \ C O L U M N < / K e y > < / a : K e y > < a : V a l u e   i : t y p e = " M e a s u r e G r i d V i e w S t a t e I D i a g r a m L i n k E n d p o i n t " / > < / a : K e y V a l u e O f D i a g r a m O b j e c t K e y a n y T y p e z b w N T n L X > < a : K e y V a l u e O f D i a g r a m O b j e c t K e y a n y T y p e z b w N T n L X > < a : K e y > < K e y > L i n k s \ & l t ; C o l u m n s \ C o u n t   o f   P a t i e n t s   r e m a i n i n g   i n   h o s p i t a l   w h o   n o   l o n g e r   m e e t   t h e   c r i t e r i a   t o   r e s i d e & g t ; - & l t ; M e a s u r e s \ P a t i e n t s   r e m a i n i n g   i n   h o s p i t a l   w h o   n o   l o n g e r   m e e t   t h e   c r i t e r i a   t o   r e s i d e & g t ; \ M E A S U R E < / K e y > < / a : K e y > < a : V a l u e   i : t y p e = " M e a s u r e G r i d V i e w S t a t e I D i a g r a m L i n k E n d p o i n t " / > < / a : K e y V a l u e O f D i a g r a m O b j e c t K e y a n y T y p e z b w N T n L X > < a : K e y V a l u e O f D i a g r a m O b j e c t K e y a n y T y p e z b w N T n L X > < a : K e y > < K e y > L i n k s \ & l t ; C o l u m n s \ S u m   o f   P a t i e n t s   r e m a i n i n g   i n   h o s p i t a l   w h o   n o   l o n g e r   m e e t   t h e   c r i t e r i a   t o   r e s i d e & g t ; - & l t ; M e a s u r e s \ P a t i e n t s   r e m a i n i n g   i n   h o s p i t a l   w h o   n o   l o n g e r   m e e t   t h e   c r i t e r i a   t o   r e s i d e & g t ; < / K e y > < / a : K e y > < a : V a l u e   i : t y p e = " M e a s u r e G r i d V i e w S t a t e I D i a g r a m L i n k " / > < / a : K e y V a l u e O f D i a g r a m O b j e c t K e y a n y T y p e z b w N T n L X > < a : K e y V a l u e O f D i a g r a m O b j e c t K e y a n y T y p e z b w N T n L X > < a : K e y > < K e y > L i n k s \ & l t ; C o l u m n s \ S u m   o f   P a t i e n t s   r e m a i n i n g   i n   h o s p i t a l   w h o   n o   l o n g e r   m e e t   t h e   c r i t e r i a   t o   r e s i d e & g t ; - & l t ; M e a s u r e s \ P a t i e n t s   r e m a i n i n g   i n   h o s p i t a l   w h o   n o   l o n g e r   m e e t   t h e   c r i t e r i a   t o   r e s i d e & g t ; \ C O L U M N < / K e y > < / a : K e y > < a : V a l u e   i : t y p e = " M e a s u r e G r i d V i e w S t a t e I D i a g r a m L i n k E n d p o i n t " / > < / a : K e y V a l u e O f D i a g r a m O b j e c t K e y a n y T y p e z b w N T n L X > < a : K e y V a l u e O f D i a g r a m O b j e c t K e y a n y T y p e z b w N T n L X > < a : K e y > < K e y > L i n k s \ & l t ; C o l u m n s \ S u m   o f   P a t i e n t s   r e m a i n i n g   i n   h o s p i t a l   w h o   n o   l o n g e r   m e e t   t h e   c r i t e r i a   t o   r e s i d e & g t ; - & l t ; M e a s u r e s \ P a t i e n t s   r e m a i n i n g   i n   h o s p i t a l   w h o   n o   l o n g e r   m e e t   t h e   c r i t e r i a   t o   r e s i d e & g t ; \ M E A S U R E < / K e y > < / a : K e y > < a : V a l u e   i : t y p e = " M e a s u r e G r i d V i e w S t a t e I D i a g r a m L i n k E n d p o i n t " / > < / a : K e y V a l u e O f D i a g r a m O b j e c t K e y a n y T y p e z b w N T n L X > < a : K e y V a l u e O f D i a g r a m O b j e c t K e y a n y T y p e z b w N T n L X > < a : K e y > < K e y > L i n k s \ & l t ; C o l u m n s \ S u m   o f   P a t i e n t s   w h o   n o   l o n g e r   m e e t   t h e   c r i t e r i a   t o   r e s i d e & g t ; - & l t ; M e a s u r e s \ P a t i e n t s   w h o   n o   l o n g e r   m e e t   t h e   c r i t e r i a   t o   r e s i d e & g t ; < / K e y > < / a : K e y > < a : V a l u e   i : t y p e = " M e a s u r e G r i d V i e w S t a t e I D i a g r a m L i n k " / > < / a : K e y V a l u e O f D i a g r a m O b j e c t K e y a n y T y p e z b w N T n L X > < a : K e y V a l u e O f D i a g r a m O b j e c t K e y a n y T y p e z b w N T n L X > < a : K e y > < K e y > L i n k s \ & l t ; C o l u m n s \ S u m   o f   P a t i e n t s   w h o   n o   l o n g e r   m e e t   t h e   c r i t e r i a   t o   r e s i d e & g t ; - & l t ; M e a s u r e s \ P a t i e n t s   w h o   n o   l o n g e r   m e e t   t h e   c r i t e r i a   t o   r e s i d e & g t ; \ C O L U M N < / K e y > < / a : K e y > < a : V a l u e   i : t y p e = " M e a s u r e G r i d V i e w S t a t e I D i a g r a m L i n k E n d p o i n t " / > < / a : K e y V a l u e O f D i a g r a m O b j e c t K e y a n y T y p e z b w N T n L X > < a : K e y V a l u e O f D i a g r a m O b j e c t K e y a n y T y p e z b w N T n L X > < a : K e y > < K e y > L i n k s \ & l t ; C o l u m n s \ S u m   o f   P a t i e n t s   w h o   n o   l o n g e r   m e e t   t h e   c r i t e r i a   t o   r e s i d e & g t ; - & l t ; M e a s u r e s \ P a t i e n t s   w h o   n o   l o n g e r   m e e t   t h e   c r i t e r i a   t o   r e s i d e & g t ; \ M E A S U R E < / K e y > < / a : K e y > < a : V a l u e   i : t y p e = " M e a s u r e G r i d V i e w S t a t e I D i a g r a m L i n k E n d p o i n t " / > < / a : K e y V a l u e O f D i a g r a m O b j e c t K e y a n y T y p e z b w N T n L X > < a : K e y V a l u e O f D i a g r a m O b j e c t K e y a n y T y p e z b w N T n L X > < a : K e y > < K e y > L i n k s \ & l t ; C o l u m n s \ A v e r a g e   o f   P a t i e n t s   w h o   n o   l o n g e r   m e e t   t h e   c r i t e r i a   t o   r e s i d e & g t ; - & l t ; M e a s u r e s \ P a t i e n t s   w h o   n o   l o n g e r   m e e t   t h e   c r i t e r i a   t o   r e s i d e & g t ; < / K e y > < / a : K e y > < a : V a l u e   i : t y p e = " M e a s u r e G r i d V i e w S t a t e I D i a g r a m L i n k " / > < / a : K e y V a l u e O f D i a g r a m O b j e c t K e y a n y T y p e z b w N T n L X > < a : K e y V a l u e O f D i a g r a m O b j e c t K e y a n y T y p e z b w N T n L X > < a : K e y > < K e y > L i n k s \ & l t ; C o l u m n s \ A v e r a g e   o f   P a t i e n t s   w h o   n o   l o n g e r   m e e t   t h e   c r i t e r i a   t o   r e s i d e & g t ; - & l t ; M e a s u r e s \ P a t i e n t s   w h o   n o   l o n g e r   m e e t   t h e   c r i t e r i a   t o   r e s i d e & g t ; \ C O L U M N < / K e y > < / a : K e y > < a : V a l u e   i : t y p e = " M e a s u r e G r i d V i e w S t a t e I D i a g r a m L i n k E n d p o i n t " / > < / a : K e y V a l u e O f D i a g r a m O b j e c t K e y a n y T y p e z b w N T n L X > < a : K e y V a l u e O f D i a g r a m O b j e c t K e y a n y T y p e z b w N T n L X > < a : K e y > < K e y > L i n k s \ & l t ; C o l u m n s \ A v e r a g e   o f   P a t i e n t s   w h o   n o   l o n g e r   m e e t   t h e   c r i t e r i a   t o   r e s i d e & g t ; - & l t ; M e a s u r e s \ P a t i e n t s   w h o   n o   l o n g e r   m e e t   t h e   c r i t e r i a   t o   r e s i d e & g t ; \ M E A S U R E < / K e y > < / a : K e y > < a : V a l u e   i : t y p e = " M e a s u r e G r i d V i e w S t a t e I D i a g r a m L i n k E n d p o i n t " / > < / a : K e y V a l u e O f D i a g r a m O b j e c t K e y a n y T y p e z b w N T n L X > < a : K e y V a l u e O f D i a g r a m O b j e c t K e y a n y T y p e z b w N T n L X > < a : K e y > < K e y > L i n k s \ & l t ; C o l u m n s \ A v e r a g e   o f   P a t i e n t s   r e m a i n i n g   i n   h o s p i t a l   w h o   n o   l o n g e r   m e e t   t h e   c r i t e r i a   t o   r e s i d e & g t ; - & l t ; M e a s u r e s \ P a t i e n t s   r e m a i n i n g   i n   h o s p i t a l   w h o   n o   l o n g e r   m e e t   t h e   c r i t e r i a   t o   r e s i d e & g t ; < / K e y > < / a : K e y > < a : V a l u e   i : t y p e = " M e a s u r e G r i d V i e w S t a t e I D i a g r a m L i n k " / > < / a : K e y V a l u e O f D i a g r a m O b j e c t K e y a n y T y p e z b w N T n L X > < a : K e y V a l u e O f D i a g r a m O b j e c t K e y a n y T y p e z b w N T n L X > < a : K e y > < K e y > L i n k s \ & l t ; C o l u m n s \ A v e r a g e   o f   P a t i e n t s   r e m a i n i n g   i n   h o s p i t a l   w h o   n o   l o n g e r   m e e t   t h e   c r i t e r i a   t o   r e s i d e & g t ; - & l t ; M e a s u r e s \ P a t i e n t s   r e m a i n i n g   i n   h o s p i t a l   w h o   n o   l o n g e r   m e e t   t h e   c r i t e r i a   t o   r e s i d e & g t ; \ C O L U M N < / K e y > < / a : K e y > < a : V a l u e   i : t y p e = " M e a s u r e G r i d V i e w S t a t e I D i a g r a m L i n k E n d p o i n t " / > < / a : K e y V a l u e O f D i a g r a m O b j e c t K e y a n y T y p e z b w N T n L X > < a : K e y V a l u e O f D i a g r a m O b j e c t K e y a n y T y p e z b w N T n L X > < a : K e y > < K e y > L i n k s \ & l t ; C o l u m n s \ A v e r a g e   o f   P a t i e n t s   r e m a i n i n g   i n   h o s p i t a l   w h o   n o   l o n g e r   m e e t   t h e   c r i t e r i a   t o   r e s i d e & g t ; - & l t ; M e a s u r e s \ P a t i e n t s   r e m a i n i n g   i n   h o s p i t a l   w h o   n o   l o n g e r   m e e t   t h e   c r i t e r i a   t o   r e s i d e & g t ; \ M E A S U R E < / K e y > < / a : K e y > < a : V a l u e   i : t y p e = " M e a s u r e G r i d V i e w S t a t e I D i a g r a m L i n k E n d p o i n t " / > < / a : K e y V a l u e O f D i a g r a m O b j e c t K e y a n y T y p e z b w N T n L X > < a : K e y V a l u e O f D i a g r a m O b j e c t K e y a n y T y p e z b w N T n L X > < a : K e y > < K e y > L i n k s \ & l t ; C o l u m n s \ S u m   o f   P a t i e n t s   d i s c h a r g e d & g t ; - & l t ; M e a s u r e s \ P a t i e n t s   d i s c h a r g e d & g t ; < / K e y > < / a : K e y > < a : V a l u e   i : t y p e = " M e a s u r e G r i d V i e w S t a t e I D i a g r a m L i n k " / > < / a : K e y V a l u e O f D i a g r a m O b j e c t K e y a n y T y p e z b w N T n L X > < a : K e y V a l u e O f D i a g r a m O b j e c t K e y a n y T y p e z b w N T n L X > < a : K e y > < K e y > L i n k s \ & l t ; C o l u m n s \ S u m   o f   P a t i e n t s   d i s c h a r g e d & g t ; - & l t ; M e a s u r e s \ P a t i e n t s   d i s c h a r g e d & g t ; \ C O L U M N < / K e y > < / a : K e y > < a : V a l u e   i : t y p e = " M e a s u r e G r i d V i e w S t a t e I D i a g r a m L i n k E n d p o i n t " / > < / a : K e y V a l u e O f D i a g r a m O b j e c t K e y a n y T y p e z b w N T n L X > < a : K e y V a l u e O f D i a g r a m O b j e c t K e y a n y T y p e z b w N T n L X > < a : K e y > < K e y > L i n k s \ & l t ; C o l u m n s \ S u m   o f   P a t i e n t s   d i s c h a r g e d & g t ; - & l t ; M e a s u r e s \ P a t i e n t s   d i s c h a r g e d & g t ; \ M E A S U R E < / K e y > < / a : K e y > < a : V a l u e   i : t y p e = " M e a s u r e G r i d V i e w S t a t e I D i a g r a m L i n k E n d p o i n t " / > < / a : K e y V a l u e O f D i a g r a m O b j e c t K e y a n y T y p e z b w N T n L X > < / V i e w S t a t e s > < / D i a g r a m M a n a g e r . S e r i a l i z a b l e D i a g r a m > < / A r r a y O f D i a g r a m M a n a g e r . S e r i a l i z a b l e D i a g r a m > ] ] > < / C u s t o m C o n t e n t > < / G e m i n i > 
</file>

<file path=customXml/item70.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71.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S A H o s t H a s h > 0 < / S A H o s t H a s h > < G e m i n i F i e l d L i s t V i s i b l e > T r u e < / G e m i n i F i e l d L i s t V i s i b l e > < / S e t t i n g s > ] ] > < / C u s t o m C o n t e n t > < / G e m i n i > 
</file>

<file path=customXml/item72.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 4 3 6 0 7 4 2 3 5 < / S A H o s t H a s h > < G e m i n i F i e l d L i s t V i s i b l e > F a l s e < / G e m i n i F i e l d L i s t V i s i b l e > < / S e t t i n g s > ] ] > < / C u s t o m C o n t e n t > < / G e m i n i > 
</file>

<file path=customXml/item73.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 A 3 1 B 8 E 1 6 2 6 1 A 4 E 7 9 9 9 F E < / 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  / & g t ;  
     & l t ; C o l u m n A c c u r a c y   / & g t ;  
     & l t ; C o l u m n C u r r e n c y S y m b o l   / & g t ;  
     & l t ; C o l u m n P o s i t i v e P a t t e r n   / & g t ;  
     & l t ; C o l u m n N e g a t i v e P a t t e r n   / & g t ;  
     & l t ; C o l u m n W i d t h s & g t ;  
         & l t ; i t e m & g t ;  
             & l t ; k e y & g t ;  
                 & l t ; s t r i n g & g t ; I D & l t ; / s t r i n g & g t ;  
             & l t ; / k e y & g t ;  
             & l t ; v a l u e & g t ;  
                 & l t ; i n t & g t ; 7 2 & l t ; / i n t & g t ;  
             & l t ; / v a l u e & g t ;  
         & l t ; / i t e m & g t ;  
         & l t ; i t e m & g t ;  
             & l t ; k e y & g t ;  
                 & l t ; s t r i n g & g t ; c r i _ i d & l t ; / s t r i n g & g t ;  
             & l t ; / k e y & g t ;  
             & l t ; v a l u e & g t ;  
                 & l t ; i n t & g t ; 9 3 & l t ; / i n t & g t ;  
             & l t ; / v a l u e & g t ;  
         & l t ; / i t e m & g t ;  
         & l t ; i t e m & g t ;  
             & l t ; k e y & g t ;  
                 & l t ; s t r i n g & g t ; d r _ i d & l t ; / s t r i n g & g t ;  
             & l t ; / k e y & g t ;  
             & l t ; v a l u e & g t ;  
                 & l t ; i n t & g t ; 9 1 & l t ; / i n t & g t ;  
             & l t ; / v a l u e & g t ;  
         & l t ; / i t e m & g t ;  
         & l t ; i t e m & g t ;  
             & l t ; k e y & g t ;  
                 & l t ; s t r i n g & g t ; o r g _ i d & l t ; / s t r i n g & g t ;  
             & l t ; / k e y & g t ;  
             & l t ; v a l u e & g t ;  
                 & l t ; i n t & g t ; 9 8 & l t ; / i n t & g t ;  
             & l t ; / v a l u e & g t ;  
         & l t ; / i t e m & g t ;  
         & l t ; i t e m & g t ;  
             & l t ; k e y & g t ;  
                 & l t ; s t r i n g & g t ; c r i _ d a t a p e r i o d s t a r t & l t ; / s t r i n g & g t ;  
             & l t ; / k e y & g t ;  
             & l t ; v a l u e & g t ;  
                 & l t ; i n t & g t ; 1 7 7 & l t ; / i n t & g t ;  
             & l t ; / v a l u e & g t ;  
         & l t ; / i t e m & g t ;  
         & l t ; i t e m & g t ;  
             & l t ; k e y & g t ;  
                 & l t ; s t r i n g & g t ; C o d e & l t ; / s t r i n g & g t ;  
             & l t ; / k e y & g t ;  
             & l t ; v a l u e & g t ;  
                 & l t ; i n t & g t ; 9 1 & l t ; / i n t & g t ;  
             & l t ; / v a l u e & g t ;  
         & l t ; / i t e m & g t ;  
         & l t ; i t e m & g t ;  
             & l t ; k e y & g t ;  
                 & l t ; s t r i n g & g t ; N a m e & l t ; / s t r i n g & g t ;  
             & l t ; / k e y & g t ;  
             & l t ; v a l u e & g t ;  
                 & l t ; i n t & g t ; 9 6 & l t ; / i n t & g t ;  
             & l t ; / v a l u e & g t ;  
         & l t ; / i t e m & g t ;  
         & l t ; i t e m & g t ;  
             & l t ; k e y & g t ;  
                 & l t ; s t r i n g & g t ; D a t e & l t ; / s t r i n g & g t ;  
             & l t ; / k e y & g t ;  
             & l t ; v a l u e & g t ;  
                 & l t ; i n t & g t ; 8 8 & l t ; / i n t & g t ;  
             & l t ; / v a l u e & g t ;  
         & l t ; / i t e m & g t ;  
         & l t ; i t e m & g t ;  
             & l t ; k e y & g t ;  
                 & l t ; s t r i n g & g t ; W e e k & l t ; / s t r i n g & g t ;  
             & l t ; / k e y & g t ;  
             & l t ; v a l u e & g t ;  
                 & l t ; i n t & g t ; 9 4 & l t ; / i n t & g t ;  
             & l t ; / v a l u e & g t ;  
         & l t ; / i t e m & g t ;  
         & l t ; i t e m & g t ;  
             & l t ; k e y & g t ;  
                 & l t ; s t r i n g & g t ; D a y & l t ; / s t r i n g & g t ;  
             & l t ; / k e y & g t ;  
             & l t ; v a l u e & g t ;  
                 & l t ; i n t & g t ; 8 2 & l t ; / i n t & g t ;  
             & l t ; / v a l u e & g t ;  
         & l t ; / i t e m & g t ;  
         & l t ; i t e m & g t ;  
             & l t ; k e y & g t ;  
                 & l t ; s t r i n g & g t ; B a n k   h o l i d a y & l t ; / s t r i n g & g t ;  
             & l t ; / k e y & g t ;  
             & l t ; v a l u e & g t ;  
                 & l t ; i n t & g t ; 1 3 8 & l t ; / i n t & g t ;  
             & l t ; / v a l u e & g t ;  
         & l t ; / i t e m & g t ;  
         & l t ; i t e m & g t ;  
             & l t ; k e y & g t ;  
                 & l t ; s t r i n g & g t ; A & a m p ; a m p ; E   c l o s u r e s & l t ; / s t r i n g & g t ;  
             & l t ; / k e y & g t ;  
             & l t ; v a l u e & g t ;  
                 & l t ; i n t & g t ; 1 3 9 & l t ; / i n t & g t ;  
             & l t ; / v a l u e & g t ;  
         & l t ; / i t e m & g t ;  
         & l t ; i t e m & g t ;  
             & l t ; k e y & g t ;  
                 & l t ; s t r i n g & g t ; A & a m p ; a m p ; E   d i v e r t s & l t ; / s t r i n g & g t ;  
             & l t ; / k e y & g t ;  
             & l t ; v a l u e & g t ;  
                 & l t ; i n t & g t ; 1 3 1 & l t ; / i n t & g t ;  
             & l t ; / v a l u e & g t ;  
         & l t ; / i t e m & g t ;  
         & l t ; i t e m & g t ;  
             & l t ; k e y & g t ;  
                 & l t ; s t r i n g & g t ; A & a m p ; a m p ; E   t y p e   1   a t t e n d a n c e s & l t ; / s t r i n g & g t ;  
             & l t ; / k e y & g t ;  
             & l t ; v a l u e & g t ;  
                 & l t ; i n t & g t ; 2 0 5 & l t ; / i n t & g t ;  
             & l t ; / v a l u e & g t ;  
         & l t ; / i t e m & g t ;  
         & l t ; i t e m & g t ;  
             & l t ; k e y & g t ;  
                 & l t ; s t r i n g & g t ; A & a m p ; a m p ; E   t y p e   2   a t t e n d a n c e s & l t ; / s t r i n g & g t ;  
             & l t ; / k e y & g t ;  
             & l t ; v a l u e & g t ;  
                 & l t ; i n t & g t ; 2 0 5 & l t ; / i n t & g t ;  
             & l t ; / v a l u e & g t ;  
         & l t ; / i t e m & g t ;  
         & l t ; i t e m & g t ;  
             & l t ; k e y & g t ;  
                 & l t ; s t r i n g & g t ; A & a m p ; a m p ; E   t y p e   3   a t t e n d a n c e s & l t ; / s t r i n g & g t ;  
             & l t ; / k e y & g t ;  
             & l t ; v a l u e & g t ;  
                 & l t ; i n t & g t ; 2 0 5 & l t ; / i n t & g t ;  
             & l t ; / v a l u e & g t ;  
         & l t ; / i t e m & g t ;  
         & l t ; i t e m & g t ;  
             & l t ; k e y & g t ;  
                 & l t ; s t r i n g & g t ; A & a m p ; a m p ; E   t o t a l   a t t e n d a n c e s & l t ; / s t r i n g & g t ;  
             & l t ; / k e y & g t ;  
             & l t ; v a l u e & g t ;  
                 & l t ; i n t & g t ; 1 9 6 & l t ; / i n t & g t ;  
             & l t ; / v a l u e & g t ;  
         & l t ; / i t e m & g t ;  
         & l t ; i t e m & g t ;  
             & l t ; k e y & g t ;  
                 & l t ; s t r i n g & g t ; E m e r g e n c y   a d m i s s i o n s & l t ; / s t r i n g & g t ;  
             & l t ; / k e y & g t ;  
             & l t ; v a l u e & g t ;  
                 & l t ; i n t & g t ; 1 9 9 & l t ; / i n t & g t ;  
             & l t ; / v a l u e & g t ;  
         & l t ; / i t e m & g t ;  
         & l t ; i t e m & g t ;  
             & l t ; k e y & g t ;  
                 & l t ; s t r i n g & g t ; G & a m p ; a m p ; A   c o r e   b e d s   a v a i l & l t ; / s t r i n g & g t ;  
             & l t ; / k e y & g t ;  
             & l t ; v a l u e & g t ;  
                 & l t ; i n t & g t ; 1 8 2 & l t ; / i n t & g t ;  
             & l t ; / v a l u e & g t ;  
         & l t ; / i t e m & g t ;  
         & l t ; i t e m & g t ;  
             & l t ; k e y & g t ;  
                 & l t ; s t r i n g & g t ; G & a m p ; a m p ; A   e s c a l a t i o n   b e d s   a v a i l & l t ; / s t r i n g & g t ;  
             & l t ; / k e y & g t ;  
             & l t ; v a l u e & g t ;  
                 & l t ; i n t & g t ; 2 1 7 & l t ; / i n t & g t ;  
             & l t ; / v a l u e & g t ;  
         & l t ; / i t e m & g t ;  
         & l t ; i t e m & g t ;  
             & l t ; k e y & g t ;  
                 & l t ; s t r i n g & g t ; G & a m p ; a m p ; A   t o t a l   b e d s   a v a i l & l t ; / s t r i n g & g t ;  
             & l t ; / k e y & g t ;  
             & l t ; v a l u e & g t ;  
                 & l t ; i n t & g t ; 1 8 4 & l t ; / i n t & g t ;  
             & l t ; / v a l u e & g t ;  
         & l t ; / i t e m & g t ;  
         & l t ; i t e m & g t ;  
             & l t ; k e y & g t ;  
                 & l t ; s t r i n g & g t ; G & a m p ; a m p ; A   t o t a l   b e d s   o c c u p i e d & l t ; / s t r i n g & g t ;  
             & l t ; / k e y & g t ;  
             & l t ; v a l u e & g t ;  
                 & l t ; i n t & g t ; 2 1 1 & l t ; / i n t & g t ;  
             & l t ; / v a l u e & g t ;  
         & l t ; / i t e m & g t ;  
         & l t ; i t e m & g t ;  
             & l t ; k e y & g t ;  
                 & l t ; s t r i n g & g t ; B e d s   c l o s e d   n o r o v i r u s & l t ; / s t r i n g & g t ;  
             & l t ; / k e y & g t ;  
             & l t ; v a l u e & g t ;  
                 & l t ; i n t & g t ; 1 9 4 & l t ; / i n t & g t ;  
             & l t ; / v a l u e & g t ;  
         & l t ; / i t e m & g t ;  
         & l t ; i t e m & g t ;  
             & l t ; k e y & g t ;  
                 & l t ; s t r i n g & g t ; B e d s   c l o s e d   n o r o v i u s   u n o c c & l t ; / s t r i n g & g t ;  
             & l t ; / k e y & g t ;  
             & l t ; v a l u e & g t ;  
                 & l t ; i n t & g t ; 2 2 8 & l t ; / i n t & g t ;  
             & l t ; / v a l u e & g t ;  
         & l t ; / i t e m & g t ;  
         & l t ; i t e m & g t ;  
             & l t ; k e y & g t ;  
                 & l t ; s t r i n g & g t ; A d u l t   C C   b e d s   a v a i l & l t ; / s t r i n g & g t ;  
             & l t ; / k e y & g t ;  
             & l t ; v a l u e & g t ;  
                 & l t ; i n t & g t ; 1 7 7 & l t ; / i n t & g t ;  
             & l t ; / v a l u e & g t ;  
         & l t ; / i t e m & g t ;  
         & l t ; i t e m & g t ;  
             & l t ; k e y & g t ;  
                 & l t ; s t r i n g & g t ; A d u l t   C C   b e d s   o c c & l t ; / s t r i n g & g t ;  
             & l t ; / k e y & g t ;  
             & l t ; v a l u e & g t ;  
                 & l t ; i n t & g t ; 1 6 8 & l t ; / i n t & g t ;  
             & l t ; / v a l u e & g t ;  
         & l t ; / i t e m & g t ;  
         & l t ; i t e m & g t ;  
             & l t ; k e y & g t ;  
                 & l t ; s t r i n g & g t ; P a e d   I n t   C a r e   A v a i l & l t ; / s t r i n g & g t ;  
             & l t ; / k e y & g t ;  
             & l t ; v a l u e & g t ;  
                 & l t ; i n t & g t ; 1 7 5 & l t ; / i n t & g t ;  
             & l t ; / v a l u e & g t ;  
         & l t ; / i t e m & g t ;  
         & l t ; i t e m & g t ;  
             & l t ; k e y & g t ;  
                 & l t ; s t r i n g & g t ; P a e d   I n t   C a r e   O c c & l t ; / s t r i n g & g t ;  
             & l t ; / k e y & g t ;  
             & l t ; v a l u e & g t ;  
                 & l t ; i n t & g t ; 1 6 6 & l t ; / i n t & g t ;  
             & l t ; / v a l u e & g t ;  
         & l t ; / i t e m & g t ;  
         & l t ; i t e m & g t ;  
             & l t ; k e y & g t ;  
                 & l t ; s t r i n g & g t ; N e o   I n t   C a r e   A v a i l & l t ; / s t r i n g & g t ;  
             & l t ; / k e y & g t ;  
             & l t ; v a l u e & g t ;  
                 & l t ; i n t & g t ; 1 7 0 & l t ; / i n t & g t ;  
             & l t ; / v a l u e & g t ;  
         & l t ; / i t e m & g t ;  
         & l t ; i t e m & g t ;  
             & l t ; k e y & g t ;  
                 & l t ; s t r i n g & g t ; N e o   I n t   C a r e   o c c & l t ; / s t r i n g & g t ;  
             & l t ; / k e y & g t ;  
             & l t ; v a l u e & g t ;  
                 & l t ; i n t & g t ; 1 5 9 & l t ; / i n t & g t ;  
             & l t ; / v a l u e & g t ;  
         & l t ; / i t e m & g t ;  
         & l t ; i t e m & g t ;  
             & l t ; k e y & g t ;  
                 & l t ; s t r i n g & g t ; O P E L   3   o r   a b o v e & l t ; / s t r i n g & g t ;  
             & l t ; / k e y & g t ;  
             & l t ; v a l u e & g t ;  
                 & l t ; i n t & g t ; 1 5 7 & l t ; / i n t & g t ;  
             & l t ; / v a l u e & g t ;  
         & l t ; / i t e m & g t ;  
         & l t ; i t e m & g t ;  
             & l t ; k e y & g t ;  
                 & l t ; s t r i n g & g t ; W e e k e n d & l t ; / s t r i n g & g t ;  
             & l t ; / k e y & g t ;  
             & l t ; v a l u e & g t ;  
                 & l t ; i n t & g t ; 1 1 8 & l t ; / i n t & g t ;  
             & l t ; / v a l u e & g t ;  
         & l t ; / i t e m & g t ;  
         & l t ; i t e m & g t ;  
             & l t ; k e y & g t ;  
                 & l t ; s t r i n g & g t ; R e g i o n & l t ; / s t r i n g & g t ;  
             & l t ; / k e y & g t ;  
             & l t ; v a l u e & g t ;  
                 & l t ; i n t & g t ; 1 0 2 & l t ; / i n t & g t ;  
             & l t ; / v a l u e & g t ;  
         & l t ; / i t e m & g t ;  
         & l t ; i t e m & g t ;  
             & l t ; k e y & g t ;  
                 & l t ; s t r i n g & g t ; Y e a r & l t ; / s t r i n g & g t ;  
             & l t ; / k e y & g t ;  
             & l t ; v a l u e & g t ;  
                 & l t ; i n t & g t ; 8 5 & l t ; / i n t & g t ;  
             & l t ; / v a l u e & g t ;  
         & l t ; / i t e m & g t ;  
         & l t ; i t e m & g t ;  
             & l t ; k e y & g t ;  
                 & l t ; s t r i n g & g t ; B e d s   o c c   o v e r   7   d a y s & l t ; / s t r i n g & g t ;  
             & l t ; / k e y & g t ;  
             & l t ; v a l u e & g t ;  
                 & l t ; i n t & g t ; 1 8 4 & l t ; / i n t & g t ;  
             & l t ; / v a l u e & g t ;  
         & l t ; / i t e m & g t ;  
         & l t ; i t e m & g t ;  
             & l t ; k e y & g t ;  
                 & l t ; s t r i n g & g t ; B e d s   o c c   o v e r   2 1   d a y s & l t ; / s t r i n g & g t ;  
             & l t ; / k e y & g t ;  
             & l t ; v a l u e & g t ;  
                 & l t ; i n t & g t ; 1 9 1 & l t ; / i n t & g t ;  
             & l t ; / v a l u e & g t ;  
         & l t ; / i t e m & g t ;  
         & l t ; i t e m & g t ;  
             & l t ; k e y & g t ;  
                 & l t ; s t r i n g & g t ; A m b   a r r i v a l s & l t ; / s t r i n g & g t ;  
             & l t ; / k e y & g t ;  
             & l t ; v a l u e & g t ;  
                 & l t ; i n t & g t ; 1 3 6 & l t ; / i n t & g t ;  
             & l t ; / v a l u e & g t ;  
         & l t ; / i t e m & g t ;  
         & l t ; i t e m & g t ;  
             & l t ; k e y & g t ;  
                 & l t ; s t r i n g & g t ; A m b   d e l a y s   3 0 - 6 0   m i n s & l t ; / s t r i n g & g t ;  
             & l t ; / k e y & g t ;  
             & l t ; v a l u e & g t ;  
                 & l t ; i n t & g t ; 2 0 0 & l t ; / i n t & g t ;  
             & l t ; / v a l u e & g t ;  
         & l t ; / i t e m & g t ;  
         & l t ; i t e m & g t ;  
             & l t ; k e y & g t ;  
                 & l t ; s t r i n g & g t ; A m b   d e l a y s   o v e r   6 0   m i n s & l t ; / s t r i n g & g t ;  
             & l t ; / k e y & g t ;  
             & l t ; v a l u e & g t ;  
                 & l t ; i n t & g t ; 2 1 2 & l t ; / i n t & g t ;  
             & l t ; / v a l u e & g t ;  
         & l t ; / i t e m & g t ;  
         & l t ; i t e m & g t ;  
             & l t ; k e y & g t ;  
                 & l t ; s t r i n g & g t ; B e d s   o c c   o v e r   1 4   d a y s & l t ; / s t r i n g & g t ;  
             & l t ; / k e y & g t ;  
             & l t ; v a l u e & g t ;  
                 & l t ; i n t & g t ; 1 9 1 & l t ; / i n t & g t ;  
             & l t ; / v a l u e & g t ;  
         & l t ; / i t e m & g t ;  
     & l t ; / C o l u m n W i d t h s & g t ;  
     & l t ; C o l u m n D i s p l a y I n d e x & g t ;  
         & l t ; i t e m & g t ;  
             & l t ; k e y & g t ;  
                 & l t ; s t r i n g & g t ; I D & l t ; / s t r i n g & g t ;  
             & l t ; / k e y & g t ;  
             & l t ; v a l u e & g t ;  
                 & l t ; i n t & g t ; 0 & l t ; / i n t & g t ;  
             & l t ; / v a l u e & g t ;  
         & l t ; / i t e m & g t ;  
         & l t ; i t e m & g t ;  
             & l t ; k e y & g t ;  
                 & l t ; s t r i n g & g t ; c r i _ i d & l t ; / s t r i n g & g t ;  
             & l t ; / k e y & g t ;  
             & l t ; v a l u e & g t ;  
                 & l t ; i n t & g t ; 1 & l t ; / i n t & g t ;  
             & l t ; / v a l u e & g t ;  
         & l t ; / i t e m & g t ;  
         & l t ; i t e m & g t ;  
             & l t ; k e y & g t ;  
                 & l t ; s t r i n g & g t ; d r _ i d & l t ; / s t r i n g & g t ;  
             & l t ; / k e y & g t ;  
             & l t ; v a l u e & g t ;  
                 & l t ; i n t & g t ; 2 & l t ; / i n t & g t ;  
             & l t ; / v a l u e & g t ;  
         & l t ; / i t e m & g t ;  
         & l t ; i t e m & g t ;  
             & l t ; k e y & g t ;  
                 & l t ; s t r i n g & g t ; o r g _ i d & l t ; / s t r i n g & g t ;  
             & l t ; / k e y & g t ;  
             & l t ; v a l u e & g t ;  
                 & l t ; i n t & g t ; 3 & l t ; / i n t & g t ;  
             & l t ; / v a l u e & g t ;  
         & l t ; / i t e m & g t ;  
         & l t ; i t e m & g t ;  
             & l t ; k e y & g t ;  
                 & l t ; s t r i n g & g t ; c r i _ d a t a p e r i o d s t a r t & l t ; / s t r i n g & g t ;  
             & l t ; / k e y & g t ;  
             & l t ; v a l u e & g t ;  
                 & l t ; i n t & g t ; 4 & l t ; / i n t & g t ;  
             & l t ; / v a l u e & g t ;  
         & l t ; / i t e m & g t ;  
         & l t ; i t e m & g t ;  
             & l t ; k e y & g t ;  
                 & l t ; s t r i n g & g t ; C o d e & l t ; / s t r i n g & g t ;  
             & l t ; / k e y & g t ;  
             & l t ; v a l u e & g t ;  
                 & l t ; i n t & g t ; 5 & l t ; / i n t & g t ;  
             & l t ; / v a l u e & g t ;  
         & l t ; / i t e m & g t ;  
         & l t ; i t e m & g t ;  
             & l t ; k e y & g t ;  
                 & l t ; s t r i n g & g t ; N a m e & l t ; / s t r i n g & g t ;  
             & l t ; / k e y & g t ;  
             & l t ; v a l u e & g t ;  
                 & l t ; i n t & g t ; 6 & l t ; / i n t & g t ;  
             & l t ; / v a l u e & g t ;  
         & l t ; / i t e m & g t ;  
         & l t ; i t e m & g t ;  
             & l t ; k e y & g t ;  
                 & l t ; s t r i n g & g t ; D a t e & l t ; / s t r i n g & g t ;  
             & l t ; / k e y & g t ;  
             & l t ; v a l u e & g t ;  
                 & l t ; i n t & g t ; 7 & l t ; / i n t & g t ;  
             & l t ; / v a l u e & g t ;  
         & l t ; / i t e m & g t ;  
         & l t ; i t e m & g t ;  
             & l t ; k e y & g t ;  
                 & l t ; s t r i n g & g t ; W e e k & l t ; / s t r i n g & g t ;  
             & l t ; / k e y & g t ;  
             & l t ; v a l u e & g t ;  
                 & l t ; i n t & g t ; 8 & l t ; / i n t & g t ;  
             & l t ; / v a l u e & g t ;  
         & l t ; / i t e m & g t ;  
         & l t ; i t e m & g t ;  
             & l t ; k e y & g t ;  
                 & l t ; s t r i n g & g t ; D a y & l t ; / s t r i n g & g t ;  
             & l t ; / k e y & g t ;  
             & l t ; v a l u e & g t ;  
                 & l t ; i n t & g t ; 9 & l t ; / i n t & g t ;  
             & l t ; / v a l u e & g t ;  
         & l t ; / i t e m & g t ;  
         & l t ; i t e m & g t ;  
             & l t ; k e y & g t ;  
                 & l t ; s t r i n g & g t ; B a n k   h o l i d a y & l t ; / s t r i n g & g t ;  
             & l t ; / k e y & g t ;  
             & l t ; v a l u e & g t ;  
                 & l t ; i n t & g t ; 1 0 & l t ; / i n t & g t ;  
             & l t ; / v a l u e & g t ;  
         & l t ; / i t e m & g t ;  
         & l t ; i t e m & g t ;  
             & l t ; k e y & g t ;  
                 & l t ; s t r i n g & g t ; A & a m p ; a m p ; E   c l o s u r e s & l t ; / s t r i n g & g t ;  
             & l t ; / k e y & g t ;  
             & l t ; v a l u e & g t ;  
                 & l t ; i n t & g t ; 1 1 & l t ; / i n t & g t ;  
             & l t ; / v a l u e & g t ;  
         & l t ; / i t e m & g t ;  
         & l t ; i t e m & g t ;  
             & l t ; k e y & g t ;  
                 & l t ; s t r i n g & g t ; A & a m p ; a m p ; E   d i v e r t s & l t ; / s t r i n g & g t ;  
             & l t ; / k e y & g t ;  
             & l t ; v a l u e & g t ;  
                 & l t ; i n t & g t ; 1 2 & l t ; / i n t & g t ;  
             & l t ; / v a l u e & g t ;  
         & l t ; / i t e m & g t ;  
         & l t ; i t e m & g t ;  
             & l t ; k e y & g t ;  
                 & l t ; s t r i n g & g t ; A & a m p ; a m p ; E   t y p e   1   a t t e n d a n c e s & l t ; / s t r i n g & g t ;  
             & l t ; / k e y & g t ;  
             & l t ; v a l u e & g t ;  
                 & l t ; i n t & g t ; 1 3 & l t ; / i n t & g t ;  
             & l t ; / v a l u e & g t ;  
         & l t ; / i t e m & g t ;  
         & l t ; i t e m & g t ;  
             & l t ; k e y & g t ;  
                 & l t ; s t r i n g & g t ; A & a m p ; a m p ; E   t y p e   2   a t t e n d a n c e s & l t ; / s t r i n g & g t ;  
             & l t ; / k e y & g t ;  
             & l t ; v a l u e & g t ;  
                 & l t ; i n t & g t ; 1 4 & l t ; / i n t & g t ;  
             & l t ; / v a l u e & g t ;  
         & l t ; / i t e m & g t ;  
         & l t ; i t e m & g t ;  
             & l t ; k e y & g t ;  
                 & l t ; s t r i n g & g t ; A & a m p ; a m p ; E   t y p e   3   a t t e n d a n c e s & l t ; / s t r i n g & g t ;  
             & l t ; / k e y & g t ;  
             & l t ; v a l u e & g t ;  
                 & l t ; i n t & g t ; 1 5 & l t ; / i n t & g t ;  
             & l t ; / v a l u e & g t ;  
         & l t ; / i t e m & g t ;  
         & l t ; i t e m & g t ;  
             & l t ; k e y & g t ;  
                 & l t ; s t r i n g & g t ; A & a m p ; a m p ; E   t o t a l   a t t e n d a n c e s & l t ; / s t r i n g & g t ;  
             & l t ; / k e y & g t ;  
             & l t ; v a l u e & g t ;  
                 & l t ; i n t & g t ; 1 6 & l t ; / i n t & g t ;  
             & l t ; / v a l u e & g t ;  
         & l t ; / i t e m & g t ;  
         & l t ; i t e m & g t ;  
             & l t ; k e y & g t ;  
                 & l t ; s t r i n g & g t ; E m e r g e n c y   a d m i s s i o n s & l t ; / s t r i n g & g t ;  
             & l t ; / k e y & g t ;  
             & l t ; v a l u e & g t ;  
                 & l t ; i n t & g t ; 1 7 & l t ; / i n t & g t ;  
             & l t ; / v a l u e & g t ;  
         & l t ; / i t e m & g t ;  
         & l t ; i t e m & g t ;  
             & l t ; k e y & g t ;  
                 & l t ; s t r i n g & g t ; G & a m p ; a m p ; A   c o r e   b e d s   a v a i l & l t ; / s t r i n g & g t ;  
             & l t ; / k e y & g t ;  
             & l t ; v a l u e & g t ;  
                 & l t ; i n t & g t ; 1 8 & l t ; / i n t & g t ;  
             & l t ; / v a l u e & g t ;  
         & l t ; / i t e m & g t ;  
         & l t ; i t e m & g t ;  
             & l t ; k e y & g t ;  
                 & l t ; s t r i n g & g t ; G & a m p ; a m p ; A   e s c a l a t i o n   b e d s   a v a i l & l t ; / s t r i n g & g t ;  
             & l t ; / k e y & g t ;  
             & l t ; v a l u e & g t ;  
                 & l t ; i n t & g t ; 1 9 & l t ; / i n t & g t ;  
             & l t ; / v a l u e & g t ;  
         & l t ; / i t e m & g t ;  
         & l t ; i t e m & g t ;  
             & l t ; k e y & g t ;  
                 & l t ; s t r i n g & g t ; G & a m p ; a m p ; A   t o t a l   b e d s   a v a i l & l t ; / s t r i n g & g t ;  
             & l t ; / k e y & g t ;  
             & l t ; v a l u e & g t ;  
                 & l t ; i n t & g t ; 2 0 & l t ; / i n t & g t ;  
             & l t ; / v a l u e & g t ;  
         & l t ; / i t e m & g t ;  
         & l t ; i t e m & g t ;  
             & l t ; k e y & g t ;  
                 & l t ; s t r i n g & g t ; G & a m p ; a m p ; A   t o t a l   b e d s   o c c u p i e d & l t ; / s t r i n g & g t ;  
             & l t ; / k e y & g t ;  
             & l t ; v a l u e & g t ;  
                 & l t ; i n t & g t ; 2 1 & l t ; / i n t & g t ;  
             & l t ; / v a l u e & g t ;  
         & l t ; / i t e m & g t ;  
         & l t ; i t e m & g t ;  
             & l t ; k e y & g t ;  
                 & l t ; s t r i n g & g t ; B e d s   c l o s e d   n o r o v i r u s & l t ; / s t r i n g & g t ;  
             & l t ; / k e y & g t ;  
             & l t ; v a l u e & g t ;  
                 & l t ; i n t & g t ; 2 2 & l t ; / i n t & g t ;  
             & l t ; / v a l u e & g t ;  
         & l t ; / i t e m & g t ;  
         & l t ; i t e m & g t ;  
             & l t ; k e y & g t ;  
                 & l t ; s t r i n g & g t ; B e d s   c l o s e d   n o r o v i u s   u n o c c & l t ; / s t r i n g & g t ;  
             & l t ; / k e y & g t ;  
             & l t ; v a l u e & g t ;  
                 & l t ; i n t & g t ; 2 3 & l t ; / i n t & g t ;  
             & l t ; / v a l u e & g t ;  
         & l t ; / i t e m & g t ;  
         & l t ; i t e m & g t ;  
             & l t ; k e y & g t ;  
                 & l t ; s t r i n g & g t ; A d u l t   C C   b e d s   a v a i l & l t ; / s t r i n g & g t ;  
             & l t ; / k e y & g t ;  
             & l t ; v a l u e & g t ;  
                 & l t ; i n t & g t ; 2 4 & l t ; / i n t & g t ;  
             & l t ; / v a l u e & g t ;  
         & l t ; / i t e m & g t ;  
         & l t ; i t e m & g t ;  
             & l t ; k e y & g t ;  
                 & l t ; s t r i n g & g t ; A d u l t   C C   b e d s   o c c & l t ; / s t r i n g & g t ;  
             & l t ; / k e y & g t ;  
             & l t ; v a l u e & g t ;  
                 & l t ; i n t & g t ; 2 5 & l t ; / i n t & g t ;  
             & l t ; / v a l u e & g t ;  
         & l t ; / i t e m & g t ;  
         & l t ; i t e m & g t ;  
             & l t ; k e y & g t ;  
                 & l t ; s t r i n g & g t ; P a e d   I n t   C a r e   A v a i l & l t ; / s t r i n g & g t ;  
             & l t ; / k e y & g t ;  
             & l t ; v a l u e & g t ;  
                 & l t ; i n t & g t ; 2 6 & l t ; / i n t & g t ;  
             & l t ; / v a l u e & g t ;  
         & l t ; / i t e m & g t ;  
         & l t ; i t e m & g t ;  
             & l t ; k e y & g t ;  
                 & l t ; s t r i n g & g t ; P a e d   I n t   C a r e   O c c & l t ; / s t r i n g & g t ;  
             & l t ; / k e y & g t ;  
             & l t ; v a l u e & g t ;  
                 & l t ; i n t & g t ; 2 7 & l t ; / i n t & g t ;  
             & l t ; / v a l u e & g t ;  
         & l t ; / i t e m & g t ;  
         & l t ; i t e m & g t ;  
             & l t ; k e y & g t ;  
                 & l t ; s t r i n g & g t ; N e o   I n t   C a r e   A v a i l & l t ; / s t r i n g & g t ;  
             & l t ; / k e y & g t ;  
             & l t ; v a l u e & g t ;  
                 & l t ; i n t & g t ; 2 8 & l t ; / i n t & g t ;  
             & l t ; / v a l u e & g t ;  
         & l t ; / i t e m & g t ;  
         & l t ; i t e m & g t ;  
             & l t ; k e y & g t ;  
                 & l t ; s t r i n g & g t ; N e o   I n t   C a r e   o c c & l t ; / s t r i n g & g t ;  
             & l t ; / k e y & g t ;  
             & l t ; v a l u e & g t ;  
                 & l t ; i n t & g t ; 2 9 & l t ; / i n t & g t ;  
             & l t ; / v a l u e & g t ;  
         & l t ; / i t e m & g t ;  
         & l t ; i t e m & g t ;  
             & l t ; k e y & g t ;  
                 & l t ; s t r i n g & g t ; O P E L   3   o r   a b o v e & l t ; / s t r i n g & g t ;  
             & l t ; / k e y & g t ;  
             & l t ; v a l u e & g t ;  
                 & l t ; i n t & g t ; 3 0 & l t ; / i n t & g t ;  
             & l t ; / v a l u e & g t ;  
         & l t ; / i t e m & g t ;  
         & l t ; i t e m & g t ;  
             & l t ; k e y & g t ;  
                 & l t ; s t r i n g & g t ; W e e k e n d & l t ; / s t r i n g & g t ;  
             & l t ; / k e y & g t ;  
             & l t ; v a l u e & g t ;  
                 & l t ; i n t & g t ; 3 1 & l t ; / i n t & g t ;  
             & l t ; / v a l u e & g t ;  
         & l t ; / i t e m & g t ;  
         & l t ; i t e m & g t ;  
             & l t ; k e y & g t ;  
                 & l t ; s t r i n g & g t ; R e g i o n & l t ; / s t r i n g & g t ;  
             & l t ; / k e y & g t ;  
             & l t ; v a l u e & g t ;  
                 & l t ; i n t & g t ; 3 2 & l t ; / i n t & g t ;  
             & l t ; / v a l u e & g t ;  
         & l t ; / i t e m & g t ;  
         & l t ; i t e m & g t ;  
             & l t ; k e y & g t ;  
                 & l t ; s t r i n g & g t ; Y e a r & l t ; / s t r i n g & g t ;  
             & l t ; / k e y & g t ;  
             & l t ; v a l u e & g t ;  
                 & l t ; i n t & g t ; 3 3 & l t ; / i n t & g t ;  
             & l t ; / v a l u e & g t ;  
         & l t ; / i t e m & g t ;  
         & l t ; i t e m & g t ;  
             & l t ; k e y & g t ;  
                 & l t ; s t r i n g & g t ; B e d s   o c c   o v e r   7   d a y s & l t ; / s t r i n g & g t ;  
             & l t ; / k e y & g t ;  
             & l t ; v a l u e & g t ;  
                 & l t ; i n t & g t ; 3 4 & l t ; / i n t & g t ;  
             & l t ; / v a l u e & g t ;  
         & l t ; / i t e m & g t ;  
         & l t ; i t e m & g t ;  
             & l t ; k e y & g t ;  
                 & l t ; s t r i n g & g t ; B e d s   o c c   o v e r   2 1   d a y s & l t ; / s t r i n g & g t ;  
             & l t ; / k e y & g t ;  
             & l t ; v a l u e & g t ;  
                 & l t ; i n t & g t ; 3 5 & l t ; / i n t & g t ;  
             & l t ; / v a l u e & g t ;  
         & l t ; / i t e m & g t ;  
         & l t ; i t e m & g t ;  
             & l t ; k e y & g t ;  
                 & l t ; s t r i n g & g t ; A m b   a r r i v a l s & l t ; / s t r i n g & g t ;  
             & l t ; / k e y & g t ;  
             & l t ; v a l u e & g t ;  
                 & l t ; i n t & g t ; 3 6 & l t ; / i n t & g t ;  
             & l t ; / v a l u e & g t ;  
         & l t ; / i t e m & g t ;  
         & l t ; i t e m & g t ;  
             & l t ; k e y & g t ;  
                 & l t ; s t r i n g & g t ; A m b   d e l a y s   3 0 - 6 0   m i n s & l t ; / s t r i n g & g t ;  
             & l t ; / k e y & g t ;  
             & l t ; v a l u e & g t ;  
                 & l t ; i n t & g t ; 3 7 & l t ; / i n t & g t ;  
             & l t ; / v a l u e & g t ;  
         & l t ; / i t e m & g t ;  
         & l t ; i t e m & g t ;  
             & l t ; k e y & g t ;  
                 & l t ; s t r i n g & g t ; A m b   d e l a y s   o v e r   6 0   m i n s & l t ; / s t r i n g & g t ;  
             & l t ; / k e y & g t ;  
             & l t ; v a l u e & g t ;  
                 & l t ; i n t & g t ; 3 8 & l t ; / i n t & g t ;  
             & l t ; / v a l u e & g t ;  
         & l t ; / i t e m & g t ;  
         & l t ; i t e m & g t ;  
             & l t ; k e y & g t ;  
                 & l t ; s t r i n g & g t ; B e d s   o c c   o v e r   1 4   d a y s & l t ; / s t r i n g & g t ;  
             & l t ; / k e y & g t ;  
             & l t ; v a l u e & g t ;  
                 & l t ; i n t & g t ; 3 9 & l t ; / i n t & g t ;  
             & l t ; / v a l u e & g t ;  
         & l t ; / i t e m & g t ;  
     & l t ; / C o l u m n D i s p l a y I n d e x & g t ;  
     & l t ; C o l u m n F r o z e n   / & g t ;  
     & l t ; C o l u m n C h e c k e d & g t ;  
         & l t ; i t e m & g t ;  
             & l t ; k e y & g t ;  
                 & l t ; s t r i n g & g t ; B e d s   o c c   o v e r   1 4   d a y s & l t ; / s t r i n g & g t ; 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I D > B e d s   o c c   o v e r   1 4   d a y s < / I D > < N a m e > B e d s   o c c   o v e r   1 4   d a y s < / N a m e > < K e y C o l u m n s > < K e y C o l u m n > < D a t a T y p e > D o u b l e < / D a t a T y p e > < D a t a S i z e > - 1 < / D a t a S i z e > < N u l l P r o c e s s i n g > P r e s e r v e < / N u l l P r o c e s s i n g > < S o u r c e   x s i : t y p e = " C o l u m n B i n d i n g " > < T a b l e I D > W i n t e r _ x 0 0 2 0 _ d a i l y _ x 0 0 2 0 _ s i t r e p s _ 1 d f 8 1 2 b b - 9 f c 3 - 4 6 7 4 - 8 d 4 1 - 6 0 c 6 7 2 6 a 8 e f 3 < / T a b l e I D > < C o l u m n I D > B e d s _ x 0 0 2 0 _ o c c _ x 0 0 2 0 _ o v e r _ x 0 0 2 0 _ 1 4 _ x 0 0 2 0 _ d a y s < / C o l u m n I D > < / S o u r c e > < / K e y C o l u m n > < / K e y C o l u m n s > < N a m e C o l u m n > < D a t a T y p e > W C h a r < / D a t a T y p e > < D a t a S i z e > - 1 < / D a t a S i z e > < N u l l P r o c e s s i n g > Z e r o O r B l a n k < / N u l l P r o c e s s i n g > < S o u r c e   x s i : t y p e = " C o l u m n B i n d i n g " > < T a b l e I D > W i n t e r _ x 0 0 2 0 _ d a i l y _ x 0 0 2 0 _ s i t r e p s _ 1 d f 8 1 2 b b - 9 f c 3 - 4 6 7 4 - 8 d 4 1 - 6 0 c 6 7 2 6 a 8 e f 3 < / T a b l e I D > < C o l u m n I D > B e d s _ x 0 0 2 0 _ o c c _ x 0 0 2 0 _ o v e r _ x 0 0 2 0 _ 1 4 _ x 0 0 2 0 _ d a y s < / 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A t t r i b u t e I D > B e d s   o c c   o v e r   1 4   d a y s < / 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A t t r i b u t e I D > B e d s   o c c   o v e r   1 4   d a y s < / A t t r i b u t e I D > < K e y C o l u m n s > < K e y C o l u m n > < D a t a T y p e > D o u b l e < / D a t a T y p e > < D a t a S i z e > - 1 < / D a t a S i z e > < N u l l P r o c e s s i n g > P r e s e r v e < / N u l l P r o c e s s i n g > < S o u r c e   x s i : t y p e = " C o l u m n B i n d i n g " > < T a b l e I D > W i n t e r _ x 0 0 2 0 _ d a i l y _ x 0 0 2 0 _ s i t r e p s _ 1 d f 8 1 2 b b - 9 f c 3 - 4 6 7 4 - 8 d 4 1 - 6 0 c 6 7 2 6 a 8 e f 3 < / T a b l e I D > < C o l u m n I D > B e d s _ x 0 0 2 0 _ o c c _ x 0 0 2 0 _ o v e r _ x 0 0 2 0 _ 1 4 _ x 0 0 2 0 _ d a y s < / C o l u m n I D > < / S o u r c e > < / K e y C o l u m n > < / K e y C o l u m n s > < / A t t r i b u t e > < / A t t r i b u t e s > < d d l 2 0 0 _ 2 0 0 : S h a r e D i m e n s i o n S t o r a g e > S h a r e d < / d d l 2 0 0 _ 2 0 0 : S h a r e D i m e n s i o n S t o r a g e > < / D i m e n s i o n > < / D i m e n s i o n s > < P a r t i t i o n s > < P a r t i t i o n > < I D > W i n t e r   d a i l y   s i t r e p s _ 1 d f 8 1 2 b b - 9 f c 3 - 4 6 7 4 - 8 d 4 1 - 6 0 c 6 7 2 6 a 8 e f 3 < / I D > < N a m e > W i n t e r   d a i l y   s i t r e p s 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  / & g t ;  
     & l t ; C o l u m n A c c u r a c y   / & g t ;  
     & l t ; C o l u m n C u r r e n c y S y m b o l   / & g t ;  
     & l t ; C o l u m n P o s i t i v e P a t t e r n   / & g t ;  
     & l t ; C o l u m n N e g a t i v e P a t t e r n   / & g t ;  
     & l t ; C o l u m n W i d t h s & g t ;  
         & l t ; i t e m & g t ;  
             & l t ; k e y & g t ;  
                 & l t ; s t r i n g & g t ; I D & l t ; / s t r i n g & g t ;  
             & l t ; / k e y & g t ;  
             & l t ; v a l u e & g t ;  
                 & l t ; i n t & g t ; 7 2 & l t ; / i n t & g t ;  
             & l t ; / v a l u e & g t ;  
         & l t ; / i t e m & g t ;  
         & l t ; i t e m & g t ;  
             & l t ; k e y & g t ;  
                 & l t ; s t r i n g & g t ; c r i _ i d & l t ; / s t r i n g & g t ;  
             & l t ; / k e y & g t ;  
             & l t ; v a l u e & g t ;  
                 & l t ; i n t & g t ; 9 3 & l t ; / i n t & g t ;  
             & l t ; / v a l u e & g t ;  
         & l t ; / i t e m & g t ;  
         & l t ; i t e m & g t ;  
             & l t ; k e y & g t ;  
                 & l t ; s t r i n g & g t ; d r _ i d & l t ; / s t r i n g & g t ;  
             & l t ; / k e y & g t ;  
             & l t ; v a l u e & g t ;  
                 & l t ; i n t & g t ; 9 1 & l t ; / i n t & g t ;  
             & l t ; / v a l u e & g t ;  
         & l t ; / i t e m & g t ;  
         & l t ; i t e m & g t ;  
             & l t ; k e y & g t ;  
                 & l t ; s t r i n g & g t ; o r g _ i d & l t ; / s t r i n g & g t ;  
             & l t ; / k e y & g t ;  
             & l t ; v a l u e & g t ;  
                 & l t ; i n t & g t ; 9 8 & l t ; / i n t & g t ;  
             & l t ; / v a l u e & g t ;  
         & l t ; / i t e m & g t ;  
         & l t ; i t e m & g t ;  
             & l t ; k e y & g t ;  
                 & l t ; s t r i n g & g t ; c r i _ d a t a p e r i o d s t a r t & l t ; / s t r i n g & g t ;  
             & l t ; / k e y & g t ;  
             & l t ; v a l u e & g t ;  
                 & l t ; i n t & g t ; 1 7 7 & l t ; / i n t & g t ;  
             & l t ; / v a l u e & g t ;  
         & l t ; / i t e m & g t ;  
         & l t ; i t e m & g t ;  
             & l t ; k e y & g t ;  
                 & l t ; s t r i n g & g t ; C o d e & l t ; / s t r i n g & g t ;  
             & l t ; / k e y & g t ;  
             & l t ; v a l u e & g t ;  
                 & l t ; i n t & g t ; 9 1 & l t ; / i n t & g t ;  
             & l t ; / v a l u e & g t ;  
         & l t ; / i t e m & g t ;  
         & l t ; i t e m & g t ;  
             & l t ; k e y & g t ;  
                 & l t ; s t r i n g & g t ; N a m e & l t ; / s t r i n g & g t ;  
             & l t ; / k e y & g t ;  
             & l t ; v a l u e & g t ;  
                 & l t ; i n t & g t ; 9 6 & l t ; / i n t & g t ;  
             & l t ; / v a l u e & g t ;  
         & l t ; / i t e m & g t ;  
         & l t ; i t e m & g t ;  
             & l t ; k e y & g t ;  
                 & l t ; s t r i n g & g t ; D a t e & l t ; / s t r i n g & g t ;  
             & l t ; / k e y & g t ;  
             & l t ; v a l u e & g t ;  
                 & l t ; i n t & g t ; 8 8 & l t ; / i n t & g t ;  
             & l t ; / v a l u e & g t ;  
         & l t ; / i t e m & g t ;  
         & l t ; i t e m & g t ;  
             & l t ; k e y & g t ;  
                 & l t ; s t r i n g & g t ; W e e k & l t ; / s t r i n g & g t ;  
             & l t ; / k e y & g t ;  
             & l t ; v a l u e & g t ;  
                 & l t ; i n t & g t ; 9 4 & l t ; / i n t & g t ;  
             & l t ; / v a l u e & g t ;  
         & l t ; / i t e m & g t ;  
         & l t ; i t e m & g t ;  
             & l t ; k e y & g t ;  
                 & l t ; s t r i n g & g t ; D a y & l t ; / s t r i n g & g t ;  
             & l t ; / k e y & g t ;  
             & l t ; v a l u e & g t ;  
                 & l t ; i n t & g t ; 8 2 & l t ; / i n t & g t ;  
             & l t ; / v a l u e & g t ;  
         & l t ; / i t e m & g t ;  
         & l t ; i t e m & g t ;  
             & l t ; k e y & g t ;  
                 & l t ; s t r i n g & g t ; B a n k   h o l i d a y & l t ; / s t r i n g & g t ;  
             & l t ; / k e y & g t ;  
             & l t ; v a l u e & g t ;  
                 & l t ; i n t & g t ; 1 3 8 & l t ; / i n t & g t ;  
             & l t ; / v a l u e & g t ;  
         & l t ; / i t e m & g t ;  
         & l t ; i t e m & g t ;  
             & l t ; k e y & g t ;  
                 & l t ; s t r i n g & g t ; A & a m p ; a m p ; E   c l o s u r e s & l t ; / s t r i n g & g t ;  
             & l t ; / k e y & g t ;  
             & l t ; v a l u e & g t ;  
                 & l t ; i n t & g t ; 1 3 9 & l t ; / i n t & g t ;  
             & l t ; / v a l u e & g t ;  
         & l t ; / i t e m & g t ;  
         & l t ; i t e m & g t ;  
             & l t ; k e y & g t ;  
                 & l t ; s t r i n g & g t ; A & a m p ; a m p ; E   d i v e r t s & l t ; / s t r i n g & g t ;  
             & l t ; / k e y & g t ;  
             & l t ; v a l u e & g t ;  
                 & l t ; i n t & g t ; 1 3 1 & l t ; / i n t & g t ;  
             & l t ; / v a l u e & g t ;  
         & l t ; / i t e m & g t ;  
         & l t ; i t e m & g t ;  
             & l t ; k e y & g t ;  
                 & l t ; s t r i n g & g t ; A & a m p ; a m p ; E   t y p e   1   a t t e n d a n c e s & l t ; / s t r i n g & g t ;  
             & l t ; / k e y & g t ;  
             & l t ; v a l u e & g t ;  
                 & l t ; i n t & g t ; 2 0 5 & l t ; / i n t & g t ;  
             & l t ; / v a l u e & g t ;  
         & l t ; / i t e m & g t ;  
         & l t ; i t e m & g t ;  
             & l t ; k e y & g t ;  
                 & l t ; s t r i n g & g t ; A & a m p ; a m p ; E   t y p e   2   a t t e n d a n c e s & l t ; / s t r i n g & g t ;  
             & l t ; / k e y & g t ;  
             & l t ; v a l u e & g t ;  
                 & l t ; i n t & g t ; 2 0 5 & l t ; / i n t & g t ;  
             & l t ; / v a l u e & g t ;  
         & l t ; / i t e m & g t ;  
         & l t ; i t e m & g t ;  
             & l t ; k e y & g t ;  
                 & l t ; s t r i n g & g t ; A & a m p ; a m p ; E   t y p e   3   a t t e n d a n c e s & l t ; / s t r i n g & g t ;  
             & l t ; / k e y & g t ;  
             & l t ; v a l u e & g t ;  
                 & l t ; i n t & g t ; 2 0 5 & l t ; / i n t & g t ;  
             & l t ; / v a l u e & g t ;  
         & l t ; / i t e m & g t ;  
         & l t ; i t e m & g t ;  
             & l t ; k e y & g t ;  
                 & l t ; s t r i n g & g t ; A & a m p ; a m p ; E   t o t a l   a t t e n d a n c e s & l t ; / s t r i n g & g t ;  
             & l t ; / k e y & g t ;  
             & l t ; v a l u e & g t ;  
                 & l t ; i n t & g t ; 1 9 6 & l t ; / i n t & g t ;  
             & l t ; / v a l u e & g t ;  
         & l t ; / i t e m & g t ;  
         & l t ; i t e m & g t ;  
             & l t ; k e y & g t ;  
                 & l t ; s t r i n g & g t ; E m e r g e n c y   a d m i s s i o n s & l t ; / s t r i n g & g t ;  
             & l t ; / k e y & g t ;  
             & l t ; v a l u e & g t ;  
                 & l t ; i n t & g t ; 1 9 9 & l t ; / i n t & g t ;  
             & l t ; / v a l u e & g t ;  
         & l t ; / i t e m & g t ;  
         & l t ; i t e m & g t ;  
             & l t ; k e y & g t ;  
                 & l t ; s t r i n g & g t ; G & a m p ; a m p ; A   c o r e   b e d s   a v a i l & l t ; / s t r i n g & g t ;  
             & l t ; / k e y & g t ;  
             & l t ; v a l u e & g t ;  
                 & l t ; i n t & g t ; 1 8 2 & l t ; / i n t & g t ;  
             & l t ; / v a l u e & g t ;  
         & l t ; / i t e m & g t ;  
         & l t ; i t e m & g t ;  
             & l t ; k e y & g t ;  
                 & l t ; s t r i n g & g t ; G & a m p ; a m p ; A   e s c a l a t i o n   b e d s   a v a i l & l t ; / s t r i n g & g t ;  
             & l t ; / k e y & g t ;  
             & l t ; v a l u e & g t ;  
                 & l t ; i n t & g t ; 2 1 7 & l t ; / i n t & g t ;  
             & l t ; / v a l u e & g t ;  
         & l t ; / i t e m & g t ;  
         & l t ; i t e m & g t ;  
             & l t ; k e y & g t ;  
                 & l t ; s t r i n g & g t ; G & a m p ; a m p ; A   t o t a l   b e d s   a v a i l & l t ; / s t r i n g & g t ;  
             & l t ; / k e y & g t ;  
             & l t ; v a l u e & g t ;  
                 & l t ; i n t & g t ; 1 8 4 & l t ; / i n t & g t ;  
             & l t ; / v a l u e & g t ;  
         & l t ; / i t e m & g t ;  
         & l t ; i t e m & g t ;  
             & l t ; k e y & g t ;  
                 & l t ; s t r i n g & g t ; G & a m p ; a m p ; A   t o t a l   b e d s   o c c u p i e d & l t ; / s t r i n g & g t ;  
             & l t ; / k e y & g t ;  
             & l t ; v a l u e & g t ;  
                 & l t ; i n t & g t ; 2 1 1 & l t ; / i n t & g t ;  
             & l t ; / v a l u e & g t ;  
         & l t ; / i t e m & g t ;  
         & l t ; i t e m & g t ;  
             & l t ; k e y & g t ;  
                 & l t ; s t r i n g & g t ; B e d s   c l o s e d   n o r o v i r u s & l t ; / s t r i n g & g t ;  
             & l t ; / k e y & g t ;  
             & l t ; v a l u e & g t ;  
                 & l t ; i n t & g t ; 1 9 4 & l t ; / i n t & g t ;  
             & l t ; / v a l u e & g t ;  
         & l t ; / i t e m & g t ;  
         & l t ; i t e m & g t ;  
             & l t ; k e y & g t ;  
                 & l t ; s t r i n g & g t ; B e d s   c l o s e d   n o r o v i u s   u n o c c & l t ; / s t r i n g & g t ;  
             & l t ; / k e y & g t ;  
             & l t ; v a l u e & g t ;  
                 & l t ; i n t & g t ; 2 2 8 & l t ; / i n t & g t ;  
             & l t ; / v a l u e & g t ;  
         & l t ; / i t e m & g t ;  
         & l t ; i t e m & g t ;  
             & l t ; k e y & g t ;  
                 & l t ; s t r i n g & g t ; A d u l t   C C   b e d s   a v a i l & l t ; / s t r i n g & g t ;  
             & l t ; / k e y & g t ;  
             & l t ; v a l u e & g t ;  
                 & l t ; i n t & g t ; 1 7 7 & l t ; / i n t & g t ;  
             & l t ; / v a l u e & g t ;  
         & l t ; / i t e m & g t ;  
         & l t ; i t e m & g t ;  
             & l t ; k e y & g t ;  
                 & l t ; s t r i n g & g t ; A d u l t   C C   b e d s   o c c & l t ; / s t r i n g & g t ;  
             & l t ; / k e y & g t ;  
             & l t ; v a l u e & g t ;  
                 & l t ; i n t & g t ; 1 6 8 & l t ; / i n t & g t ;  
             & l t ; / v a l u e & g t ;  
         & l t ; / i t e m & g t ;  
         & l t ; i t e m & g t ;  
             & l t ; k e y & g t ;  
                 & l t ; s t r i n g & g t ; P a e d   I n t   C a r e   A v a i l & l t ; / s t r i n g & g t ;  
             & l t ; / k e y & g t ;  
             & l t ; v a l u e & g t ;  
                 & l t ; i n t & g t ; 1 7 5 & l t ; / i n t & g t ;  
             & l t ; / v a l u e & g t ;  
         & l t ; / i t e m & g t ;  
         & l t ; i t e m & g t ;  
             & l t ; k e y & g t ;  
                 & l t ; s t r i n g & g t ; P a e d   I n t   C a r e   O c c & l t ; / s t r i n g & g t ;  
             & l t ; / k e y & g t ;  
             & l t ; v a l u e & g t ;  
                 & l t ; i n t & g t ; 1 6 6 & l t ; / i n t & g t ;  
             & l t ; / v a l u e & g t ;  
         & l t ; / i t e m & g t ;  
         & l t ; i t e m & g t ;  
             & l t ; k e y & g t ;  
                 & l t ; s t r i n g & g t ; N e o   I n t   C a r e   A v a i l & l t ; / s t r i n g & g t ;  
             & l t ; / k e y & g t ;  
             & l t ; v a l u e & g t ;  
                 & l t ; i n t & g t ; 1 7 0 & l t ; / i n t & g t ;  
             & l t ; / v a l u e & g t ;  
         & l t ; / i t e m & g t ;  
         & l t ; i t e m & g t ;  
             & l t ; k e y & g t ;  
                 & l t ; s t r i n g & g t ; N e o   I n t   C a r e   o c c & l t ; / s t r i n g & g t ;  
             & l t ; / k e y & g t ;  
             & l t ; v a l u e & g t ;  
                 & l t ; i n t & g t ; 1 5 9 & l t ; / i n t & g t ;  
             & l t ; / v a l u e & g t ;  
         & l t ; / i t e m & g t ;  
         & l t ; i t e m & g t ;  
             & l t ; k e y & g t ;  
                 & l t ; s t r i n g & g t ; O P E L   3   o r   a b o v e & l t ; / s t r i n g & g t ;  
             & l t ; / k e y & g t ;  
             & l t ; v a l u e & g t ;  
                 & l t ; i n t & g t ; 1 5 7 & l t ; / i n t & g t ;  
             & l t ; / v a l u e & g t ;  
         & l t ; / i t e m & g t ;  
         & l t ; i t e m & g t ;  
             & l t ; k e y & g t ;  
                 & l t ; s t r i n g & g t ; W e e k e n d & l t ; / s t r i n g & g t ;  
             & l t ; / k e y & g t ;  
             & l t ; v a l u e & g t ;  
                 & l t ; i n t & g t ; 1 1 8 & l t ; / i n t & g t ;  
             & l t ; / v a l u e & g t ;  
         & l t ; / i t e m & g t ;  
         & l t ; i t e m & g t ;  
             & l t ; k e y & g t ;  
                 & l t ; s t r i n g & g t ; R e g i o n & l t ; / s t r i n g & g t ;  
             & l t ; / k e y & g t ;  
             & l t ; v a l u e & g t ;  
                 & l t ; i n t & g t ; 1 0 2 & l t ; / i n t & g t ;  
             & l t ; / v a l u e & g t ;  
         & l t ; / i t e m & g t ;  
         & l t ; i t e m & g t ;  
             & l t ; k e y & g t ;  
                 & l t ; s t r i n g & g t ; Y e a r & l t ; / s t r i n g & g t ;  
             & l t ; / k e y & g t ;  
             & l t ; v a l u e & g t ;  
                 & l t ; i n t & g t ; 8 5 & l t ; / i n t & g t ;  
             & l t ; / v a l u e & g t ;  
         & l t ; / i t e m & g t ;  
         & l t ; i t e m & g t ;  
             & l t ; k e y & g t ;  
                 & l t ; s t r i n g & g t ; B e d s   o c c   o v e r   7   d a y s & l t ; / s t r i n g & g t ;  
             & l t ; / k e y & g t ;  
             & l t ; v a l u e & g t ;  
                 & l t ; i n t & g t ; 1 8 4 & l t ; / i n t & g t ;  
             & l t ; / v a l u e & g t ;  
         & l t ; / i t e m & g t ;  
         & l t ; i t e m & g t ;  
             & l t ; k e y & g t ;  
                 & l t ; s t r i n g & g t ; B e d s   o c c   o v e r   2 1   d a y s & l t ; / s t r i n g & g t ;  
             & l t ; / k e y & g t ;  
             & l t ; v a l u e & g t ;  
                 & l t ; i n t & g t ; 1 9 1 & l t ; / i n t & g t ;  
             & l t ; / v a l u e & g t ;  
         & l t ; / i t e m & g t ;  
         & l t ; i t e m & g t ;  
             & l t ; k e y & g t ;  
                 & l t ; s t r i n g & g t ; A m b   a r r i v a l s & l t ; / s t r i n g & g t ;  
             & l t ; / k e y & g t ;  
             & l t ; v a l u e & g t ;  
                 & l t ; i n t & g t ; 1 3 6 & l t ; / i n t & g t ;  
             & l t ; / v a l u e & g t ;  
         & l t ; / i t e m & g t ;  
         & l t ; i t e m & g t ;  
             & l t ; k e y & g t ;  
                 & l t ; s t r i n g & g t ; A m b   d e l a y s   3 0 - 6 0   m i n s & l t ; / s t r i n g & g t ;  
             & l t ; / k e y & g t ;  
             & l t ; v a l u e & g t ;  
                 & l t ; i n t & g t ; 2 0 0 & l t ; / i n t & g t ;  
             & l t ; / v a l u e & g t ;  
         & l t ; / i t e m & g t ;  
         & l t ; i t e m & g t ;  
             & l t ; k e y & g t ;  
                 & l t ; s t r i n g & g t ; A m b   d e l a y s   o v e r   6 0   m i n s & l t ; / s t r i n g & g t ;  
             & l t ; / k e y & g t ;  
             & l t ; v a l u e & g t ;  
                 & l t ; i n t & g t ; 2 1 2 & l t ; / i n t & g t ;  
             & l t ; / v a l u e & g t ;  
         & l t ; / i t e m & g t ;  
         & l t ; i t e m & g t ;  
             & l t ; k e y & g t ;  
                 & l t ; s t r i n g & g t ; B e d s   o c c   o v e r   1 4   d a y s & l t ; / s t r i n g & g t ;  
             & l t ; / k e y & g t ;  
             & l t ; v a l u e & g t ;  
                 & l t ; i n t & g t ; 1 9 1 & l t ; / i n t & g t ;  
             & l t ; / v a l u e & g t ;  
         & l t ; / i t e m & g t ;  
     & l t ; / C o l u m n W i d t h s & g t ;  
     & l t ; C o l u m n D i s p l a y I n d e x & g t ;  
         & l t ; i t e m & g t ;  
             & l t ; k e y & g t ;  
                 & l t ; s t r i n g & g t ; I D & l t ; / s t r i n g & g t ;  
             & l t ; / k e y & g t ;  
             & l t ; v a l u e & g t ;  
                 & l t ; i n t & g t ; 0 & l t ; / i n t & g t ;  
             & l t ; / v a l u e & g t ;  
         & l t ; / i t e m & g t ;  
         & l t ; i t e m & g t ;  
             & l t ; k e y & g t ;  
                 & l t ; s t r i n g & g t ; c r i _ i d & l t ; / s t r i n g & g t ;  
             & l t ; / k e y & g t ;  
             & l t ; v a l u e & g t ;  
                 & l t ; i n t & g t ; 1 & l t ; / i n t & g t ;  
             & l t ; / v a l u e & g t ;  
         & l t ; / i t e m & g t ;  
         & l t ; i t e m & g t ;  
             & l t ; k e y & g t ;  
                 & l t ; s t r i n g & g t ; d r _ i d & l t ; / s t r i n g & g t ;  
             & l t ; / k e y & g t ;  
             & l t ; v a l u e & g t ;  
                 & l t ; i n t & g t ; 2 & l t ; / i n t & g t ;  
             & l t ; / v a l u e & g t ;  
         & l t ; / i t e m & g t ;  
         & l t ; i t e m & g t ;  
             & l t ; k e y & g t ;  
                 & l t ; s t r i n g & g t ; o r g _ i d & l t ; / s t r i n g & g t ;  
             & l t ; / k e y & g t ;  
             & l t ; v a l u e & g t ;  
                 & l t ; i n t & g t ; 3 & l t ; / i n t & g t ;  
             & l t ; / v a l u e & g t ;  
         & l t ; / i t e m & g t ;  
         & l t ; i t e m & g t ;  
             & l t ; k e y & g t ;  
                 & l t ; s t r i n g & g t ; c r i _ d a t a p e r i o d s t a r t & l t ; / s t r i n g & g t ;  
             & l t ; / k e y & g t ;  
             & l t ; v a l u e & g t ;  
                 & l t ; i n t & g t ; 4 & l t ; / i n t & g t ;  
             & l t ; / v a l u e & g t ;  
         & l t ; / i t e m & g t ;  
         & l t ; i t e m & g t ;  
             & l t ; k e y & g t ;  
                 & l t ; s t r i n g & g t ; C o d e & l t ; / s t r i n g & g t ;  
             & l t ; / k e y & g t ;  
             & l t ; v a l u e & g t ;  
                 & l t ; i n t & g t ; 5 & l t ; / i n t & g t ;  
             & l t ; / v a l u e & g t ;  
         & l t ; / i t e m & g t ;  
         & l t ; i t e m & g t ;  
             & l t ; k e y & g t ;  
                 & l t ; s t r i n g & g t ; N a m e & l t ; / s t r i n g & g t ;  
             & l t ; / k e y & g t ;  
             & l t ; v a l u e & g t ;  
                 & l t ; i n t & g t ; 6 & l t ; / i n t & g t ;  
             & l t ; / v a l u e & g t ;  
         & l t ; / i t e m & g t ;  
         & l t ; i t e m & g t ;  
             & l t ; k e y & g t ;  
                 & l t ; s t r i n g & g t ; D a t e & l t ; / s t r i n g & g t ;  
             & l t ; / k e y & g t ;  
             & l t ; v a l u e & g t ;  
                 & l t ; i n t & g t ; 7 & l t ; / i n t & g t ;  
             & l t ; / v a l u e & g t ;  
         & l t ; / i t e m & g t ;  
         & l t ; i t e m & g t ;  
             & l t ; k e y & g t ;  
                 & l t ; s t r i n g & g t ; W e e k & l t ; / s t r i n g & g t ;  
             & l t ; / k e y & g t ;  
             & l t ; v a l u e & g t ;  
                 & l t ; i n t & g t ; 8 & l t ; / i n t & g t ;  
             & l t ; / v a l u e & g t ;  
         & l t ; / i t e m & g t ;  
         & l t ; i t e m & g t ;  
             & l t ; k e y & g t ;  
                 & l t ; s t r i n g & g t ; D a y & l t ; / s t r i n g & g t ;  
             & l t ; / k e y & g t ;  
             & l t ; v a l u e & g t ;  
                 & l t ; i n t & g t ; 9 & l t ; / i n t & g t ;  
             & l t ; / v a l u e & g t ;  
         & l t ; / i t e m & g t ;  
         & l t ; i t e m & g t ;  
             & l t ; k e y & g t ;  
                 & l t ; s t r i n g & g t ; B a n k   h o l i d a y & l t ; / s t r i n g & g t ;  
             & l t ; / k e y & g t ;  
             & l t ; v a l u e & g t ;  
                 & l t ; i n t & g t ; 1 0 & l t ; / i n t & g t ;  
             & l t ; / v a l u e & g t ;  
         & l t ; / i t e m & g t ;  
         & l t ; i t e m & g t ;  
             & l t ; k e y & g t ;  
                 & l t ; s t r i n g & g t ; A & a m p ; a m p ; E   c l o s u r e s & l t ; / s t r i n g & g t ;  
             & l t ; / k e y & g t ;  
             & l t ; v a l u e & g t ;  
                 & l t ; i n t & g t ; 1 1 & l t ; / i n t & g t ;  
             & l t ; / v a l u e & g t ;  
         & l t ; / i t e m & g t ;  
         & l t ; i t e m & g t ;  
             & l t ; k e y & g t ;  
                 & l t ; s t r i n g & g t ; A & a m p ; a m p ; E   d i v e r t s & l t ; / s t r i n g & g t ;  
             & l t ; / k e y & g t ;  
             & l t ; v a l u e & g t ;  
                 & l t ; i n t & g t ; 1 2 & l t ; / i n t & g t ;  
             & l t ; / v a l u e & g t ;  
         & l t ; / i t e m & g t ;  
         & l t ; i t e m & g t ;  
             & l t ; k e y & g t ;  
                 & l t ; s t r i n g & g t ; A & a m p ; a m p ; E   t y p e   1   a t t e n d a n c e s & l t ; / s t r i n g & g t ;  
             & l t ; / k e y & g t ;  
             & l t ; v a l u e & g t ;  
                 & l t ; i n t & g t ; 1 3 & l t ; / i n t & g t ;  
             & l t ; / v a l u e & g t ;  
         & l t ; / i t e m & g t ;  
         & l t ; i t e m & g t ;  
             & l t ; k e y & g t ;  
                 & l t ; s t r i n g & g t ; A & a m p ; a m p ; E   t y p e   2   a t t e n d a n c e s & l t ; / s t r i n g & g t ;  
             & l t ; / k e y & g t ;  
             & l t ; v a l u e & g t ;  
                 & l t ; i n t & g t ; 1 4 & l t ; / i n t & g t ;  
             & l t ; / v a l u e & g t ;  
         & l t ; / i t e m & g t ;  
         & l t ; i t e m & g t ;  
             & l t ; k e y & g t ;  
                 & l t ; s t r i n g & g t ; A & a m p ; a m p ; E   t y p e   3   a t t e n d a n c e s & l t ; / s t r i n g & g t ;  
             & l t ; / k e y & g t ;  
             & l t ; v a l u e & g t ;  
                 & l t ; i n t & g t ; 1 5 & l t ; / i n t & g t ;  
             & l t ; / v a l u e & g t ;  
         & l t ; / i t e m & g t ;  
         & l t ; i t e m & g t ;  
             & l t ; k e y & g t ;  
                 & l t ; s t r i n g & g t ; A & a m p ; a m p ; E   t o t a l   a t t e n d a n c e s & l t ; / s t r i n g & g t ;  
             & l t ; / k e y & g t ;  
             & l t ; v a l u e & g t ;  
                 & l t ; i n t & g t ; 1 6 & l t ; / i n t & g t ;  
             & l t ; / v a l u e & g t ;  
         & l t ; / i t e m & g t ;  
         & l t ; i t e m & g t ;  
             & l t ; k e y & g t ;  
                 & l t ; s t r i n g & g t ; E m e r g e n c y   a d m i s s i o n s & l t ; / s t r i n g & g t ;  
             & l t ; / k e y & g t ;  
             & l t ; v a l u e & g t ;  
                 & l t ; i n t & g t ; 1 7 & l t ; / i n t & g t ;  
             & l t ; / v a l u e & g t ;  
         & l t ; / i t e m & g t ;  
         & l t ; i t e m & g t ;  
             & l t ; k e y & g t ;  
                 & l t ; s t r i n g & g t ; G & a m p ; a m p ; A   c o r e   b e d s   a v a i l & l t ; / s t r i n g & g t ;  
             & l t ; / k e y & g t ;  
             & l t ; v a l u e & g t ;  
                 & l t ; i n t & g t ; 1 8 & l t ; / i n t & g t ;  
             & l t ; / v a l u e & g t ;  
         & l t ; / i t e m & g t ;  
         & l t ; i t e m & g t ;  
             & l t ; k e y & g t ;  
                 & l t ; s t r i n g & g t ; G & a m p ; a m p ; A   e s c a l a t i o n   b e d s   a v a i l & l t ; / s t r i n g & g t ;  
             & l t ; / k e y & g t ;  
             & l t ; v a l u e & g t ;  
                 & l t ; i n t & g t ; 1 9 & l t ; / i n t & g t ;  
             & l t ; / v a l u e & g t ;  
         & l t ; / i t e m & g t ;  
         & l t ; i t e m & g t ;  
             & l t ; k e y & g t ;  
                 & l t ; s t r i n g & g t ; G & a m p ; a m p ; A   t o t a l   b e d s   a v a i l & l t ; / s t r i n g & g t ;  
             & l t ; / k e y & g t ;  
             & l t ; v a l u e & g t ;  
                 & l t ; i n t & g t ; 2 0 & l t ; / i n t & g t ;  
             & l t ; / v a l u e & g t ;  
         & l t ; / i t e m & g t ;  
         & l t ; i t e m & g t ;  
             & l t ; k e y & g t ;  
                 & l t ; s t r i n g & g t ; G & a m p ; a m p ; A   t o t a l   b e d s   o c c u p i e d & l t ; / s t r i n g & g t ;  
             & l t ; / k e y & g t ;  
             & l t ; v a l u e & g t ;  
                 & l t ; i n t & g t ; 2 1 & l t ; / i n t & g t ;  
             & l t ; / v a l u e & g t ;  
         & l t ; / i t e m & g t ;  
         & l t ; i t e m & g t ;  
             & l t ; k e y & g t ;  
                 & l t ; s t r i n g & g t ; B e d s   c l o s e d   n o r o v i r u s & l t ; / s t r i n g & g t ;  
             & l t ; / k e y & g t ;  
             & l t ; v a l u e & g t ;  
                 & l t ; i n t & g t ; 2 2 & l t ; / i n t & g t ;  
             & l t ; / v a l u e & g t ;  
         & l t ; / i t e m & g t ;  
         & l t ; i t e m & g t ;  
             & l t ; k e y & g t ;  
                 & l t ; s t r i n g & g t ; B e d s   c l o s e d   n o r o v i u s   u n o c c & l t ; / s t r i n g & g t ;  
             & l t ; / k e y & g t ;  
             & l t ; v a l u e & g t ;  
                 & l t ; i n t & g t ; 2 3 & l t ; / i n t & g t ;  
             & l t ; / v a l u e & g t ;  
         & l t ; / i t e m & g t ;  
         & l t ; i t e m & g t ;  
             & l t ; k e y & g t ;  
                 & l t ; s t r i n g & g t ; A d u l t   C C   b e d s   a v a i l & l t ; / s t r i n g & g t ;  
             & l t ; / k e y & g t ;  
             & l t ; v a l u e & g t ;  
                 & l t ; i n t & g t ; 2 4 & l t ; / i n t & g t ;  
             & l t ; / v a l u e & g t ;  
         & l t ; / i t e m & g t ;  
         & l t ; i t e m & g t ;  
             & l t ; k e y & g t ;  
                 & l t ; s t r i n g & g t ; A d u l t   C C   b e d s   o c c & l t ; / s t r i n g & g t ;  
             & l t ; / k e y & g t ;  
             & l t ; v a l u e & g t ;  
                 & l t ; i n t & g t ; 2 5 & l t ; / i n t & g t ;  
             & l t ; / v a l u e & g t ;  
         & l t ; / i t e m & g t ;  
         & l t ; i t e m & g t ;  
             & l t ; k e y & g t ;  
                 & l t ; s t r i n g & g t ; P a e d   I n t   C a r e   A v a i l & l t ; / s t r i n g & g t ;  
             & l t ; / k e y & g t ;  
             & l t ; v a l u e & g t ;  
                 & l t ; i n t & g t ; 2 6 & l t ; / i n t & g t ;  
             & l t ; / v a l u e & g t ;  
         & l t ; / i t e m & g t ;  
         & l t ; i t e m & g t ;  
             & l t ; k e y & g t ;  
                 & l t ; s t r i n g & g t ; P a e d   I n t   C a r e   O c c & l t ; / s t r i n g & g t ;  
             & l t ; / k e y & g t ;  
             & l t ; v a l u e & g t ;  
                 & l t ; i n t & g t ; 2 7 & l t ; / i n t & g t ;  
             & l t ; / v a l u e & g t ;  
         & l t ; / i t e m & g t ;  
         & l t ; i t e m & g t ;  
             & l t ; k e y & g t ;  
                 & l t ; s t r i n g & g t ; N e o   I n t   C a r e   A v a i l & l t ; / s t r i n g & g t ;  
             & l t ; / k e y & g t ;  
             & l t ; v a l u e & g t ;  
                 & l t ; i n t & g t ; 2 8 & l t ; / i n t & g t ;  
             & l t ; / v a l u e & g t ;  
         & l t ; / i t e m & g t ;  
         & l t ; i t e m & g t ;  
             & l t ; k e y & g t ;  
                 & l t ; s t r i n g & g t ; N e o   I n t   C a r e   o c c & l t ; / s t r i n g & g t ;  
             & l t ; / k e y & g t ;  
             & l t ; v a l u e & g t ;  
                 & l t ; i n t & g t ; 2 9 & l t ; / i n t & g t ;  
             & l t ; / v a l u e & g t ;  
         & l t ; / i t e m & g t ;  
         & l t ; i t e m & g t ;  
             & l t ; k e y & g t ;  
                 & l t ; s t r i n g & g t ; O P E L   3   o r   a b o v e & l t ; / s t r i n g & g t ;  
             & l t ; / k e y & g t ;  
             & l t ; v a l u e & g t ;  
                 & l t ; i n t & g t ; 3 0 & l t ; / i n t & g t ;  
             & l t ; / v a l u e & g t ;  
         & l t ; / i t e m & g t ;  
         & l t ; i t e m & g t ;  
             & l t ; k e y & g t ;  
                 & l t ; s t r i n g & g t ; W e e k e n d & l t ; / s t r i n g & g t ;  
             & l t ; / k e y & g t ;  
             & l t ; v a l u e & g t ;  
                 & l t ; i n t & g t ; 3 1 & l t ; / i n t & g t ;  
             & l t ; / v a l u e & g t ;  
         & l t ; / i t e m & g t ;  
         & l t ; i t e m & g t ;  
             & l t ; k e y & g t ;  
                 & l t ; s t r i n g & g t ; R e g i o n & l t ; / s t r i n g & g t ;  
             & l t ; / k e y & g t ;  
             & l t ; v a l u e & g t ;  
                 & l t ; i n t & g t ; 3 2 & l t ; / i n t & g t ;  
             & l t ; / v a l u e & g t ;  
         & l t ; / i t e m & g t ;  
         & l t ; i t e m & g t ;  
             & l t ; k e y & g t ;  
                 & l t ; s t r i n g & g t ; Y e a r & l t ; / s t r i n g & g t ;  
             & l t ; / k e y & g t ;  
             & l t ; v a l u e & g t ;  
                 & l t ; i n t & g t ; 3 3 & l t ; / i n t & g t ;  
             & l t ; / v a l u e & g t ;  
         & l t ; / i t e m & g t ;  
         & l t ; i t e m & g t ;  
             & l t ; k e y & g t ;  
                 & l t ; s t r i n g & g t ; B e d s   o c c   o v e r   7   d a y s & l t ; / s t r i n g & g t ;  
             & l t ; / k e y & g t ;  
             & l t ; v a l u e & g t ;  
                 & l t ; i n t & g t ; 3 4 & l t ; / i n t & g t ;  
             & l t ; / v a l u e & g t ;  
         & l t ; / i t e m & g t ;  
         & l t ; i t e m & g t ;  
             & l t ; k e y & g t ;  
                 & l t ; s t r i n g & g t ; B e d s   o c c   o v e r   2 1   d a y s & l t ; / s t r i n g & g t ;  
             & l t ; / k e y & g t ;  
             & l t ; v a l u e & g t ;  
                 & l t ; i n t & g t ; 3 5 & l t ; / i n t & g t ;  
             & l t ; / v a l u e & g t ;  
         & l t ; / i t e m & g t ;  
         & l t ; i t e m & g t ;  
             & l t ; k e y & g t ;  
                 & l t ; s t r i n g & g t ; A m b   a r r i v a l s & l t ; / s t r i n g & g t ;  
             & l t ; / k e y & g t ;  
             & l t ; v a l u e & g t ;  
                 & l t ; i n t & g t ; 3 6 & l t ; / i n t & g t ;  
             & l t ; / v a l u e & g t ;  
         & l t ; / i t e m & g t ;  
         & l t ; i t e m & g t ;  
             & l t ; k e y & g t ;  
                 & l t ; s t r i n g & g t ; A m b   d e l a y s   3 0 - 6 0   m i n s & l t ; / s t r i n g & g t ;  
             & l t ; / k e y & g t ;  
             & l t ; v a l u e & g t ;  
                 & l t ; i n t & g t ; 3 7 & l t ; / i n t & g t ;  
             & l t ; / v a l u e & g t ;  
         & l t ; / i t e m & g t ;  
         & l t ; i t e m & g t ;  
             & l t ; k e y & g t ;  
                 & l t ; s t r i n g & g t ; A m b   d e l a y s   o v e r   6 0   m i n s & l t ; / s t r i n g & g t ;  
             & l t ; / k e y & g t ;  
             & l t ; v a l u e & g t ;  
                 & l t ; i n t & g t ; 3 8 & l t ; / i n t & g t ;  
             & l t ; / v a l u e & g t ;  
         & l t ; / i t e m & g t ;  
         & l t ; i t e m & g t ;  
             & l t ; k e y & g t ;  
                 & l t ; s t r i n g & g t ; B e d s   o c c   o v e r   1 4   d a y s & l t ; / s t r i n g & g t ;  
             & l t ; / k e y & g t ;  
             & l t ; v a l u e & g t ;  
                 & l t ; i n t & g t ; 3 9 & l t ; / i n t & g t ;  
             & l t ; / v a l u e & g t ;  
         & l t ; / i t e m & g t ;  
     & l t ; / C o l u m n D i s p l a y I n d e x & g t ;  
     & l t ; C o l u m n F r o z e n   / & g t ;  
     & l t ; C o l u m n C h e c k e d & g t ;  
         & l t ; i t e m & g t ;  
             & l t ; k e y & g t ;  
                 & l t ; s t r i n g & g t ; B e d s   o c c   o v e r   1 4   d a y s & l t ; / s t r i n g & g t ; 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 C R E A T E   M E A S U R E   ' W i n t e r   d a i l y   s i t r e p s ' [ S u m   o f   B e d s   o c c   o v e r   1 4   d a y s   2 ] = S U M ( ' W i n t e r   d a i l y   s i t r e p s ' [ B e d s 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 7   d a y s < / V a l u e > < / A n n o t a t i o n > < A n n o t a t i o n > < N a m e > A g g r e g a t i o n < / N a m e > < V a l u e > S u m < / V a l u e > < / A n n o t a t i o n > < / A n n o t a t i o n s > < C a l c u l a t i o n R e f e r e n c e > [ S u m   o f   B e d s   o c c   o v e r   7 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  2 ] < / 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 I D = k e h i n d e . o l a d i m e j i @ n h s p r o v i d e r s . o r g ; P e r s i s t   S e c u r i t y   I n f o = t r u e 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e l e m e n t   n a m e = " B e d s _ x 0 0 2 0 _ o c c _ x 0 0 2 0 _ o v e r _ x 0 0 2 0 _ 1 4 _ x 0 0 2 0 _ d a y s "   m s p r o p : F r i e n d l y N a m e = " B e d s   o c c   o v e r   1 4   d a y 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74.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S A H o s t H a s h > 0 < / S A H o s t H a s h > < G e m i n i F i e l d L i s t V i s i b l e > T r u e < / G e m i n i F i e l d L i s t V i s i b l e > < / S e t t i n g s > ] ] > < / C u s t o m C o n t e n t > < / G e m i n i > 
</file>

<file path=customXml/item75.xml>��< ? x m l   v e r s i o n = " 1 . 0 "   e n c o d i n g = " U T F - 1 6 " ? > < G e m i n i   x m l n s = " h t t p : / / g e m i n i / p i v o t c u s t o m i z a t i o n / S a n d b o x N o n E m p t y " > < C u s t o m C o n t e n t > < ! [ C D A T A [ 1 ] ] > < / C u s t o m C o n t e n t > < / G e m i n i > 
</file>

<file path=customXml/item76.xml>��< ? x m l   v e r s i o n = " 1 . 0 "   e n c o d i n g = " U T F - 1 6 " ? > < G e m i n i   x m l n s = " h t t p : / / g e m i n i / p i v o t c u s t o m i z a t i o n / I s S a n d b o x E m b e d d e d " > < C u s t o m C o n t e n t > < ! [ C D A T A [ y e s ] ] > < / C u s t o m C o n t e n t > < / G e m i n i > 
</file>

<file path=customXml/item77.xml>��< ? x m l   v e r s i o n = " 1 . 0 "   e n c o d i n g = " U T F - 1 6 " ? > < G e m i n i   x m l n s = " h t t p : / / g e m i n i / p i v o t c u s t o m i z a t i o n / P o w e r P i v o t V e r s i o n " > < C u s t o m C o n t e n t > < ! [ C D A T A [ 2 0 1 5 . 1 3 0 . 1 6 0 5 . 6 0 2 ] ] > < / C u s t o m C o n t e n t > < / G e m i n i > 
</file>

<file path=customXml/item78.xml>��< ? x m l   v e r s i o n = " 1 . 0 "   e n c o d i n g = " U T F - 1 6 " ? > < G e m i n i   x m l n s = " h t t p : / / g e m i n i / p i v o t c u s t o m i z a t i o n / R e l a t i o n s h i p A u t o D e t e c t i o n E n a b l e d " > < C u s t o m C o n t e n t > < ! [ C D A T A [ T r u e ] ] > < / C u s t o m C o n t e n t > < / G e m i n i > 
</file>

<file path=customXml/item7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 2 0 2 2 - 0 3 - 0 3 T 1 1 : 2 3 : 1 4 . 1 3 1 5 9 1 2 + 0 0 : 0 0 < / L a s t P r o c e s s e d T i m e > < / D a t a M o d e l i n g S a n d b o x . S e r i a l i z e d S a n d b o x E r r o r C a c h e > ] ] > < / C u s t o m C o n t e n t > < / G e m i n i > 
</file>

<file path=customXml/item8.xml>��< ? x m l   v e r s i o n = " 1 . 0 "   e n c o d i n g = " U T F - 1 6 " ? > < G e m i n i   x m l n s = " h t t p : / / g e m i n i / p i v o t c u s t o m i z a t i o n / f 7 3 5 e 7 c 4 - c 9 1 7 - 4 7 7 e - b 7 1 c - 9 7 e 3 7 3 0 8 f 1 6 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 1 2 8 9 6 8 7 8 6 8 < / S A H o s t H a s h > < G e m i n i F i e l d L i s t V i s i b l e > T r u e < / G e m i n i F i e l d L i s t V i s i b l e > < / S e t t i n g s > ] ] > < / C u s t o m C o n t e n t > < / G e m i n i > 
</file>

<file path=customXml/item9.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8412ABF9-AFAA-4221-9369-11047CCE7ECA}">
  <ds:schemaRefs/>
</ds:datastoreItem>
</file>

<file path=customXml/itemProps10.xml><?xml version="1.0" encoding="utf-8"?>
<ds:datastoreItem xmlns:ds="http://schemas.openxmlformats.org/officeDocument/2006/customXml" ds:itemID="{22E12C5F-18BE-4256-A755-1900869F9BD9}">
  <ds:schemaRefs/>
</ds:datastoreItem>
</file>

<file path=customXml/itemProps11.xml><?xml version="1.0" encoding="utf-8"?>
<ds:datastoreItem xmlns:ds="http://schemas.openxmlformats.org/officeDocument/2006/customXml" ds:itemID="{54205167-ED9D-48E8-B546-32D0D363C6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d78af-cfc5-4e7a-8799-591ad7ced2cf"/>
    <ds:schemaRef ds:uri="91879da0-9969-4788-bbb1-7f1899c198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2.xml><?xml version="1.0" encoding="utf-8"?>
<ds:datastoreItem xmlns:ds="http://schemas.openxmlformats.org/officeDocument/2006/customXml" ds:itemID="{EDBF0907-1BA8-4737-9766-4C4A40495BDB}">
  <ds:schemaRefs/>
</ds:datastoreItem>
</file>

<file path=customXml/itemProps13.xml><?xml version="1.0" encoding="utf-8"?>
<ds:datastoreItem xmlns:ds="http://schemas.openxmlformats.org/officeDocument/2006/customXml" ds:itemID="{43EDB738-F962-461A-8CA7-7047A36D80A0}">
  <ds:schemaRefs/>
</ds:datastoreItem>
</file>

<file path=customXml/itemProps14.xml><?xml version="1.0" encoding="utf-8"?>
<ds:datastoreItem xmlns:ds="http://schemas.openxmlformats.org/officeDocument/2006/customXml" ds:itemID="{7663031C-D71A-4169-BB00-823E8059BC54}">
  <ds:schemaRefs/>
</ds:datastoreItem>
</file>

<file path=customXml/itemProps15.xml><?xml version="1.0" encoding="utf-8"?>
<ds:datastoreItem xmlns:ds="http://schemas.openxmlformats.org/officeDocument/2006/customXml" ds:itemID="{767F5FAD-931C-4324-A5A7-4FF06B136D45}">
  <ds:schemaRefs/>
</ds:datastoreItem>
</file>

<file path=customXml/itemProps16.xml><?xml version="1.0" encoding="utf-8"?>
<ds:datastoreItem xmlns:ds="http://schemas.openxmlformats.org/officeDocument/2006/customXml" ds:itemID="{43E60C76-C999-42D9-82CF-7347A3B05709}">
  <ds:schemaRefs/>
</ds:datastoreItem>
</file>

<file path=customXml/itemProps17.xml><?xml version="1.0" encoding="utf-8"?>
<ds:datastoreItem xmlns:ds="http://schemas.openxmlformats.org/officeDocument/2006/customXml" ds:itemID="{25FE2F68-7D44-4D74-946B-70B40C0FD695}">
  <ds:schemaRefs/>
</ds:datastoreItem>
</file>

<file path=customXml/itemProps18.xml><?xml version="1.0" encoding="utf-8"?>
<ds:datastoreItem xmlns:ds="http://schemas.openxmlformats.org/officeDocument/2006/customXml" ds:itemID="{7C5268C2-B6E7-434E-8CE2-A39F6CD2113B}">
  <ds:schemaRefs/>
</ds:datastoreItem>
</file>

<file path=customXml/itemProps19.xml><?xml version="1.0" encoding="utf-8"?>
<ds:datastoreItem xmlns:ds="http://schemas.openxmlformats.org/officeDocument/2006/customXml" ds:itemID="{62E87B9D-202D-4157-A517-AA6F883BCDC2}">
  <ds:schemaRefs/>
</ds:datastoreItem>
</file>

<file path=customXml/itemProps2.xml><?xml version="1.0" encoding="utf-8"?>
<ds:datastoreItem xmlns:ds="http://schemas.openxmlformats.org/officeDocument/2006/customXml" ds:itemID="{038B1FA5-37E1-4178-840C-0A3C77ADC4D0}">
  <ds:schemaRefs/>
</ds:datastoreItem>
</file>

<file path=customXml/itemProps20.xml><?xml version="1.0" encoding="utf-8"?>
<ds:datastoreItem xmlns:ds="http://schemas.openxmlformats.org/officeDocument/2006/customXml" ds:itemID="{E1B90C43-3F11-4884-94F2-22E161C921F1}">
  <ds:schemaRefs/>
</ds:datastoreItem>
</file>

<file path=customXml/itemProps21.xml><?xml version="1.0" encoding="utf-8"?>
<ds:datastoreItem xmlns:ds="http://schemas.openxmlformats.org/officeDocument/2006/customXml" ds:itemID="{A57F48E8-6E6B-458E-B156-2E5413BA832C}">
  <ds:schemaRefs/>
</ds:datastoreItem>
</file>

<file path=customXml/itemProps22.xml><?xml version="1.0" encoding="utf-8"?>
<ds:datastoreItem xmlns:ds="http://schemas.openxmlformats.org/officeDocument/2006/customXml" ds:itemID="{295F6E27-D3DD-4BD3-9882-171C1AE2451B}">
  <ds:schemaRefs/>
</ds:datastoreItem>
</file>

<file path=customXml/itemProps23.xml><?xml version="1.0" encoding="utf-8"?>
<ds:datastoreItem xmlns:ds="http://schemas.openxmlformats.org/officeDocument/2006/customXml" ds:itemID="{45DB164D-4FDD-44B0-B0FC-5069CF060512}">
  <ds:schemaRefs>
    <ds:schemaRef ds:uri="http://schemas.microsoft.com/DataMashup"/>
  </ds:schemaRefs>
</ds:datastoreItem>
</file>

<file path=customXml/itemProps24.xml><?xml version="1.0" encoding="utf-8"?>
<ds:datastoreItem xmlns:ds="http://schemas.openxmlformats.org/officeDocument/2006/customXml" ds:itemID="{6A18D57C-4583-4A27-B714-910FAE887E0F}">
  <ds:schemaRefs/>
</ds:datastoreItem>
</file>

<file path=customXml/itemProps25.xml><?xml version="1.0" encoding="utf-8"?>
<ds:datastoreItem xmlns:ds="http://schemas.openxmlformats.org/officeDocument/2006/customXml" ds:itemID="{86324196-B860-40D6-AEB7-370561309DA4}">
  <ds:schemaRefs/>
</ds:datastoreItem>
</file>

<file path=customXml/itemProps26.xml><?xml version="1.0" encoding="utf-8"?>
<ds:datastoreItem xmlns:ds="http://schemas.openxmlformats.org/officeDocument/2006/customXml" ds:itemID="{9187B132-2414-4E6E-BBBF-7D189E6D3E3E}">
  <ds:schemaRefs>
    <ds:schemaRef ds:uri="http://schemas.microsoft.com/sharepoint/v3/contenttype/forms"/>
  </ds:schemaRefs>
</ds:datastoreItem>
</file>

<file path=customXml/itemProps27.xml><?xml version="1.0" encoding="utf-8"?>
<ds:datastoreItem xmlns:ds="http://schemas.openxmlformats.org/officeDocument/2006/customXml" ds:itemID="{E7D26C60-69B7-4412-A51A-707C1699A24D}">
  <ds:schemaRefs/>
</ds:datastoreItem>
</file>

<file path=customXml/itemProps28.xml><?xml version="1.0" encoding="utf-8"?>
<ds:datastoreItem xmlns:ds="http://schemas.openxmlformats.org/officeDocument/2006/customXml" ds:itemID="{8A59134D-0C9A-4449-A204-156D0DA27A97}">
  <ds:schemaRefs/>
</ds:datastoreItem>
</file>

<file path=customXml/itemProps29.xml><?xml version="1.0" encoding="utf-8"?>
<ds:datastoreItem xmlns:ds="http://schemas.openxmlformats.org/officeDocument/2006/customXml" ds:itemID="{5E45B984-362D-4612-A75E-C17C58629936}">
  <ds:schemaRefs/>
</ds:datastoreItem>
</file>

<file path=customXml/itemProps3.xml><?xml version="1.0" encoding="utf-8"?>
<ds:datastoreItem xmlns:ds="http://schemas.openxmlformats.org/officeDocument/2006/customXml" ds:itemID="{2DAFAB23-7EB1-4658-9B6A-40B596A3791D}">
  <ds:schemaRefs/>
</ds:datastoreItem>
</file>

<file path=customXml/itemProps30.xml><?xml version="1.0" encoding="utf-8"?>
<ds:datastoreItem xmlns:ds="http://schemas.openxmlformats.org/officeDocument/2006/customXml" ds:itemID="{24732C04-8A0D-4A50-9A9D-B07C1D4D11AE}">
  <ds:schemaRefs/>
</ds:datastoreItem>
</file>

<file path=customXml/itemProps31.xml><?xml version="1.0" encoding="utf-8"?>
<ds:datastoreItem xmlns:ds="http://schemas.openxmlformats.org/officeDocument/2006/customXml" ds:itemID="{6C967261-03D3-4378-B87D-A1A295A9557F}">
  <ds:schemaRefs/>
</ds:datastoreItem>
</file>

<file path=customXml/itemProps32.xml><?xml version="1.0" encoding="utf-8"?>
<ds:datastoreItem xmlns:ds="http://schemas.openxmlformats.org/officeDocument/2006/customXml" ds:itemID="{C08DED25-9792-4983-8E34-1A45BC843FDA}">
  <ds:schemaRefs/>
</ds:datastoreItem>
</file>

<file path=customXml/itemProps33.xml><?xml version="1.0" encoding="utf-8"?>
<ds:datastoreItem xmlns:ds="http://schemas.openxmlformats.org/officeDocument/2006/customXml" ds:itemID="{9D3E82F3-395B-4C40-BE81-AF6A838E3287}">
  <ds:schemaRefs/>
</ds:datastoreItem>
</file>

<file path=customXml/itemProps34.xml><?xml version="1.0" encoding="utf-8"?>
<ds:datastoreItem xmlns:ds="http://schemas.openxmlformats.org/officeDocument/2006/customXml" ds:itemID="{E763E1F8-65ED-4002-9822-C5B5929FFD90}">
  <ds:schemaRefs/>
</ds:datastoreItem>
</file>

<file path=customXml/itemProps35.xml><?xml version="1.0" encoding="utf-8"?>
<ds:datastoreItem xmlns:ds="http://schemas.openxmlformats.org/officeDocument/2006/customXml" ds:itemID="{E26FD759-B7C8-42C2-8DF1-A49A0530BBC0}">
  <ds:schemaRefs/>
</ds:datastoreItem>
</file>

<file path=customXml/itemProps36.xml><?xml version="1.0" encoding="utf-8"?>
<ds:datastoreItem xmlns:ds="http://schemas.openxmlformats.org/officeDocument/2006/customXml" ds:itemID="{692BEAFB-9810-4653-B063-A2902C8EC437}">
  <ds:schemaRefs/>
</ds:datastoreItem>
</file>

<file path=customXml/itemProps37.xml><?xml version="1.0" encoding="utf-8"?>
<ds:datastoreItem xmlns:ds="http://schemas.openxmlformats.org/officeDocument/2006/customXml" ds:itemID="{CA2EC7E9-D17B-47FB-A89B-AB88068D1C05}">
  <ds:schemaRefs/>
</ds:datastoreItem>
</file>

<file path=customXml/itemProps38.xml><?xml version="1.0" encoding="utf-8"?>
<ds:datastoreItem xmlns:ds="http://schemas.openxmlformats.org/officeDocument/2006/customXml" ds:itemID="{EBADC75B-2602-4519-99D7-0A58796FB1B6}">
  <ds:schemaRefs/>
</ds:datastoreItem>
</file>

<file path=customXml/itemProps39.xml><?xml version="1.0" encoding="utf-8"?>
<ds:datastoreItem xmlns:ds="http://schemas.openxmlformats.org/officeDocument/2006/customXml" ds:itemID="{F72F776A-546E-4E92-912A-302AA15EE702}">
  <ds:schemaRefs/>
</ds:datastoreItem>
</file>

<file path=customXml/itemProps4.xml><?xml version="1.0" encoding="utf-8"?>
<ds:datastoreItem xmlns:ds="http://schemas.openxmlformats.org/officeDocument/2006/customXml" ds:itemID="{0E5A9411-638E-4F02-B826-0F97C7B19CFA}">
  <ds:schemaRefs/>
</ds:datastoreItem>
</file>

<file path=customXml/itemProps40.xml><?xml version="1.0" encoding="utf-8"?>
<ds:datastoreItem xmlns:ds="http://schemas.openxmlformats.org/officeDocument/2006/customXml" ds:itemID="{BF478F56-66E7-4A59-9983-09D0CA7D9740}">
  <ds:schemaRefs/>
</ds:datastoreItem>
</file>

<file path=customXml/itemProps41.xml><?xml version="1.0" encoding="utf-8"?>
<ds:datastoreItem xmlns:ds="http://schemas.openxmlformats.org/officeDocument/2006/customXml" ds:itemID="{53EBC557-F6DF-4604-84D2-C78DE6177F62}">
  <ds:schemaRefs/>
</ds:datastoreItem>
</file>

<file path=customXml/itemProps42.xml><?xml version="1.0" encoding="utf-8"?>
<ds:datastoreItem xmlns:ds="http://schemas.openxmlformats.org/officeDocument/2006/customXml" ds:itemID="{4C9693DF-DE41-43FD-A333-10F55F476DD8}">
  <ds:schemaRefs/>
</ds:datastoreItem>
</file>

<file path=customXml/itemProps43.xml><?xml version="1.0" encoding="utf-8"?>
<ds:datastoreItem xmlns:ds="http://schemas.openxmlformats.org/officeDocument/2006/customXml" ds:itemID="{0BB3FFF8-FBBD-46E2-ACD5-AC859949AB69}">
  <ds:schemaRefs/>
</ds:datastoreItem>
</file>

<file path=customXml/itemProps44.xml><?xml version="1.0" encoding="utf-8"?>
<ds:datastoreItem xmlns:ds="http://schemas.openxmlformats.org/officeDocument/2006/customXml" ds:itemID="{EF056883-A245-4949-BA18-A5A3160865E3}">
  <ds:schemaRefs/>
</ds:datastoreItem>
</file>

<file path=customXml/itemProps45.xml><?xml version="1.0" encoding="utf-8"?>
<ds:datastoreItem xmlns:ds="http://schemas.openxmlformats.org/officeDocument/2006/customXml" ds:itemID="{0361396E-43E3-4555-8853-1E4F12855058}">
  <ds:schemaRefs/>
</ds:datastoreItem>
</file>

<file path=customXml/itemProps46.xml><?xml version="1.0" encoding="utf-8"?>
<ds:datastoreItem xmlns:ds="http://schemas.openxmlformats.org/officeDocument/2006/customXml" ds:itemID="{5FA41800-C289-4B82-95B3-2814B1F0A623}">
  <ds:schemaRefs/>
</ds:datastoreItem>
</file>

<file path=customXml/itemProps47.xml><?xml version="1.0" encoding="utf-8"?>
<ds:datastoreItem xmlns:ds="http://schemas.openxmlformats.org/officeDocument/2006/customXml" ds:itemID="{37DE9361-46CF-4D31-8E6C-95D4B9C305A7}">
  <ds:schemaRefs/>
</ds:datastoreItem>
</file>

<file path=customXml/itemProps48.xml><?xml version="1.0" encoding="utf-8"?>
<ds:datastoreItem xmlns:ds="http://schemas.openxmlformats.org/officeDocument/2006/customXml" ds:itemID="{274B6DFD-3C67-4831-A7F7-A88920E52580}">
  <ds:schemaRefs/>
</ds:datastoreItem>
</file>

<file path=customXml/itemProps49.xml><?xml version="1.0" encoding="utf-8"?>
<ds:datastoreItem xmlns:ds="http://schemas.openxmlformats.org/officeDocument/2006/customXml" ds:itemID="{DF6A5F90-BC9D-408B-920F-828E58E445F8}">
  <ds:schemaRefs/>
</ds:datastoreItem>
</file>

<file path=customXml/itemProps5.xml><?xml version="1.0" encoding="utf-8"?>
<ds:datastoreItem xmlns:ds="http://schemas.openxmlformats.org/officeDocument/2006/customXml" ds:itemID="{5F8FB8D9-E3DC-4DF2-B8E8-86C918EC8703}">
  <ds:schemaRefs/>
</ds:datastoreItem>
</file>

<file path=customXml/itemProps50.xml><?xml version="1.0" encoding="utf-8"?>
<ds:datastoreItem xmlns:ds="http://schemas.openxmlformats.org/officeDocument/2006/customXml" ds:itemID="{8577CCF7-F23E-4AF3-826E-9E43B082FA97}">
  <ds:schemaRefs/>
</ds:datastoreItem>
</file>

<file path=customXml/itemProps51.xml><?xml version="1.0" encoding="utf-8"?>
<ds:datastoreItem xmlns:ds="http://schemas.openxmlformats.org/officeDocument/2006/customXml" ds:itemID="{8F624D02-C5EE-4142-A29A-2C2869CA498D}">
  <ds:schemaRefs/>
</ds:datastoreItem>
</file>

<file path=customXml/itemProps52.xml><?xml version="1.0" encoding="utf-8"?>
<ds:datastoreItem xmlns:ds="http://schemas.openxmlformats.org/officeDocument/2006/customXml" ds:itemID="{8ED914D6-098F-4413-B764-8E08346D6B04}">
  <ds:schemaRefs/>
</ds:datastoreItem>
</file>

<file path=customXml/itemProps53.xml><?xml version="1.0" encoding="utf-8"?>
<ds:datastoreItem xmlns:ds="http://schemas.openxmlformats.org/officeDocument/2006/customXml" ds:itemID="{11F93841-4692-4564-AB6C-F154E655BE14}">
  <ds:schemaRefs/>
</ds:datastoreItem>
</file>

<file path=customXml/itemProps54.xml><?xml version="1.0" encoding="utf-8"?>
<ds:datastoreItem xmlns:ds="http://schemas.openxmlformats.org/officeDocument/2006/customXml" ds:itemID="{A58DB6FD-6B95-43BD-AA92-BC4BD260F3B2}">
  <ds:schemaRefs/>
</ds:datastoreItem>
</file>

<file path=customXml/itemProps55.xml><?xml version="1.0" encoding="utf-8"?>
<ds:datastoreItem xmlns:ds="http://schemas.openxmlformats.org/officeDocument/2006/customXml" ds:itemID="{621FBCE1-FA68-4990-81C3-141B12FF3C1C}">
  <ds:schemaRefs/>
</ds:datastoreItem>
</file>

<file path=customXml/itemProps56.xml><?xml version="1.0" encoding="utf-8"?>
<ds:datastoreItem xmlns:ds="http://schemas.openxmlformats.org/officeDocument/2006/customXml" ds:itemID="{02861635-600D-42F9-AA8D-E0304149F095}">
  <ds:schemaRefs/>
</ds:datastoreItem>
</file>

<file path=customXml/itemProps57.xml><?xml version="1.0" encoding="utf-8"?>
<ds:datastoreItem xmlns:ds="http://schemas.openxmlformats.org/officeDocument/2006/customXml" ds:itemID="{1F7F5362-E8C6-44FC-883D-CE235AE113EB}">
  <ds:schemaRefs/>
</ds:datastoreItem>
</file>

<file path=customXml/itemProps58.xml><?xml version="1.0" encoding="utf-8"?>
<ds:datastoreItem xmlns:ds="http://schemas.openxmlformats.org/officeDocument/2006/customXml" ds:itemID="{FB5A4E1B-1015-4673-AB41-57BB31733663}">
  <ds:schemaRefs/>
</ds:datastoreItem>
</file>

<file path=customXml/itemProps59.xml><?xml version="1.0" encoding="utf-8"?>
<ds:datastoreItem xmlns:ds="http://schemas.openxmlformats.org/officeDocument/2006/customXml" ds:itemID="{39187127-1762-4E30-9388-6202F67346C9}">
  <ds:schemaRefs>
    <ds:schemaRef ds:uri="http://schemas.microsoft.com/office/2006/metadata/properties"/>
    <ds:schemaRef ds:uri="http://schemas.microsoft.com/office/2006/documentManagement/types"/>
    <ds:schemaRef ds:uri="http://www.w3.org/XML/1998/namespace"/>
    <ds:schemaRef ds:uri="http://purl.org/dc/terms/"/>
    <ds:schemaRef ds:uri="http://purl.org/dc/elements/1.1/"/>
    <ds:schemaRef ds:uri="http://schemas.openxmlformats.org/package/2006/metadata/core-properties"/>
    <ds:schemaRef ds:uri="47dd78af-cfc5-4e7a-8799-591ad7ced2cf"/>
    <ds:schemaRef ds:uri="http://purl.org/dc/dcmitype/"/>
    <ds:schemaRef ds:uri="http://schemas.microsoft.com/office/infopath/2007/PartnerControls"/>
    <ds:schemaRef ds:uri="91879da0-9969-4788-bbb1-7f1899c198fe"/>
  </ds:schemaRefs>
</ds:datastoreItem>
</file>

<file path=customXml/itemProps6.xml><?xml version="1.0" encoding="utf-8"?>
<ds:datastoreItem xmlns:ds="http://schemas.openxmlformats.org/officeDocument/2006/customXml" ds:itemID="{2B120E71-B618-4E34-AEE1-1ECF88F32B22}">
  <ds:schemaRefs/>
</ds:datastoreItem>
</file>

<file path=customXml/itemProps60.xml><?xml version="1.0" encoding="utf-8"?>
<ds:datastoreItem xmlns:ds="http://schemas.openxmlformats.org/officeDocument/2006/customXml" ds:itemID="{9C9BD1FC-380A-4FFA-B957-35571D09BF17}">
  <ds:schemaRefs/>
</ds:datastoreItem>
</file>

<file path=customXml/itemProps61.xml><?xml version="1.0" encoding="utf-8"?>
<ds:datastoreItem xmlns:ds="http://schemas.openxmlformats.org/officeDocument/2006/customXml" ds:itemID="{86E23B50-0FC9-42C1-B862-A8C8C08FBF5E}">
  <ds:schemaRefs/>
</ds:datastoreItem>
</file>

<file path=customXml/itemProps62.xml><?xml version="1.0" encoding="utf-8"?>
<ds:datastoreItem xmlns:ds="http://schemas.openxmlformats.org/officeDocument/2006/customXml" ds:itemID="{3DFABED9-ACEC-4131-AA05-97A21103AB5F}">
  <ds:schemaRefs/>
</ds:datastoreItem>
</file>

<file path=customXml/itemProps63.xml><?xml version="1.0" encoding="utf-8"?>
<ds:datastoreItem xmlns:ds="http://schemas.openxmlformats.org/officeDocument/2006/customXml" ds:itemID="{19838B9B-A17E-4138-9D02-594EFF8F8E56}">
  <ds:schemaRefs/>
</ds:datastoreItem>
</file>

<file path=customXml/itemProps64.xml><?xml version="1.0" encoding="utf-8"?>
<ds:datastoreItem xmlns:ds="http://schemas.openxmlformats.org/officeDocument/2006/customXml" ds:itemID="{B9CF4581-35EA-406B-8EFF-966AECC0FB9D}">
  <ds:schemaRefs/>
</ds:datastoreItem>
</file>

<file path=customXml/itemProps65.xml><?xml version="1.0" encoding="utf-8"?>
<ds:datastoreItem xmlns:ds="http://schemas.openxmlformats.org/officeDocument/2006/customXml" ds:itemID="{02F7E731-3965-40B6-8CD4-5F007E07D397}">
  <ds:schemaRefs/>
</ds:datastoreItem>
</file>

<file path=customXml/itemProps66.xml><?xml version="1.0" encoding="utf-8"?>
<ds:datastoreItem xmlns:ds="http://schemas.openxmlformats.org/officeDocument/2006/customXml" ds:itemID="{FBA84DCC-7FE9-418F-BD60-FC0195BE739B}">
  <ds:schemaRefs/>
</ds:datastoreItem>
</file>

<file path=customXml/itemProps67.xml><?xml version="1.0" encoding="utf-8"?>
<ds:datastoreItem xmlns:ds="http://schemas.openxmlformats.org/officeDocument/2006/customXml" ds:itemID="{171E5AEC-F308-49B9-8466-77141A8BE55A}">
  <ds:schemaRefs/>
</ds:datastoreItem>
</file>

<file path=customXml/itemProps68.xml><?xml version="1.0" encoding="utf-8"?>
<ds:datastoreItem xmlns:ds="http://schemas.openxmlformats.org/officeDocument/2006/customXml" ds:itemID="{5D8A9A8B-E3BB-4F4E-8157-AB25A9F68AFB}">
  <ds:schemaRefs/>
</ds:datastoreItem>
</file>

<file path=customXml/itemProps69.xml><?xml version="1.0" encoding="utf-8"?>
<ds:datastoreItem xmlns:ds="http://schemas.openxmlformats.org/officeDocument/2006/customXml" ds:itemID="{18A8164D-E151-4DD8-B478-643D9EB33342}">
  <ds:schemaRefs/>
</ds:datastoreItem>
</file>

<file path=customXml/itemProps7.xml><?xml version="1.0" encoding="utf-8"?>
<ds:datastoreItem xmlns:ds="http://schemas.openxmlformats.org/officeDocument/2006/customXml" ds:itemID="{5B229591-B168-4494-B59F-4035A98A8C8E}">
  <ds:schemaRefs/>
</ds:datastoreItem>
</file>

<file path=customXml/itemProps70.xml><?xml version="1.0" encoding="utf-8"?>
<ds:datastoreItem xmlns:ds="http://schemas.openxmlformats.org/officeDocument/2006/customXml" ds:itemID="{855853F3-3884-4021-BECE-2B5A516C9BD5}">
  <ds:schemaRefs/>
</ds:datastoreItem>
</file>

<file path=customXml/itemProps71.xml><?xml version="1.0" encoding="utf-8"?>
<ds:datastoreItem xmlns:ds="http://schemas.openxmlformats.org/officeDocument/2006/customXml" ds:itemID="{886B1712-42ED-4D82-A8D1-A7BF155EA392}">
  <ds:schemaRefs/>
</ds:datastoreItem>
</file>

<file path=customXml/itemProps72.xml><?xml version="1.0" encoding="utf-8"?>
<ds:datastoreItem xmlns:ds="http://schemas.openxmlformats.org/officeDocument/2006/customXml" ds:itemID="{2A1D40D2-C955-41F9-B427-71548EF1AD8F}">
  <ds:schemaRefs/>
</ds:datastoreItem>
</file>

<file path=customXml/itemProps73.xml><?xml version="1.0" encoding="utf-8"?>
<ds:datastoreItem xmlns:ds="http://schemas.openxmlformats.org/officeDocument/2006/customXml" ds:itemID="{EEA3271A-2C2B-480D-A3BB-F9E1F97218CA}">
  <ds:schemaRefs/>
</ds:datastoreItem>
</file>

<file path=customXml/itemProps74.xml><?xml version="1.0" encoding="utf-8"?>
<ds:datastoreItem xmlns:ds="http://schemas.openxmlformats.org/officeDocument/2006/customXml" ds:itemID="{321A1BC0-576D-4A3B-AC22-42AB4F3099A3}">
  <ds:schemaRefs/>
</ds:datastoreItem>
</file>

<file path=customXml/itemProps75.xml><?xml version="1.0" encoding="utf-8"?>
<ds:datastoreItem xmlns:ds="http://schemas.openxmlformats.org/officeDocument/2006/customXml" ds:itemID="{B29F1CFE-A768-4CE6-96BD-832EFF51BA95}">
  <ds:schemaRefs/>
</ds:datastoreItem>
</file>

<file path=customXml/itemProps76.xml><?xml version="1.0" encoding="utf-8"?>
<ds:datastoreItem xmlns:ds="http://schemas.openxmlformats.org/officeDocument/2006/customXml" ds:itemID="{B8075A7C-E1BB-44E0-8AF3-C3DBB7706F47}">
  <ds:schemaRefs/>
</ds:datastoreItem>
</file>

<file path=customXml/itemProps77.xml><?xml version="1.0" encoding="utf-8"?>
<ds:datastoreItem xmlns:ds="http://schemas.openxmlformats.org/officeDocument/2006/customXml" ds:itemID="{2FE3D654-50E4-4B71-BB50-67AE1DEFE822}">
  <ds:schemaRefs/>
</ds:datastoreItem>
</file>

<file path=customXml/itemProps78.xml><?xml version="1.0" encoding="utf-8"?>
<ds:datastoreItem xmlns:ds="http://schemas.openxmlformats.org/officeDocument/2006/customXml" ds:itemID="{776B3035-3930-40F6-B9C8-2BEA7DAFCFD8}">
  <ds:schemaRefs/>
</ds:datastoreItem>
</file>

<file path=customXml/itemProps79.xml><?xml version="1.0" encoding="utf-8"?>
<ds:datastoreItem xmlns:ds="http://schemas.openxmlformats.org/officeDocument/2006/customXml" ds:itemID="{C4C46316-251B-4E4F-BA2B-C364BCE24352}">
  <ds:schemaRefs/>
</ds:datastoreItem>
</file>

<file path=customXml/itemProps8.xml><?xml version="1.0" encoding="utf-8"?>
<ds:datastoreItem xmlns:ds="http://schemas.openxmlformats.org/officeDocument/2006/customXml" ds:itemID="{82749D56-2707-4D10-B130-D6473AA6B880}">
  <ds:schemaRefs/>
</ds:datastoreItem>
</file>

<file path=customXml/itemProps9.xml><?xml version="1.0" encoding="utf-8"?>
<ds:datastoreItem xmlns:ds="http://schemas.openxmlformats.org/officeDocument/2006/customXml" ds:itemID="{3BE857E9-0615-4BB9-BBFF-FFFD025DA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Summary</vt:lpstr>
      <vt:lpstr>A&amp;E diverts</vt:lpstr>
      <vt:lpstr>G&amp;A bed avail.</vt:lpstr>
      <vt:lpstr>G&amp;A bed occ.</vt:lpstr>
      <vt:lpstr>Long stay</vt:lpstr>
      <vt:lpstr>D&amp;V</vt:lpstr>
      <vt:lpstr>Critical care</vt:lpstr>
      <vt:lpstr>PICU</vt:lpstr>
      <vt:lpstr>NICU</vt:lpstr>
      <vt:lpstr>Ambulance</vt:lpstr>
      <vt:lpstr>COVID bed occ.</vt:lpstr>
      <vt:lpstr>Delayed discharges</vt:lpstr>
      <vt:lpstr>Flu</vt:lpstr>
      <vt:lpstr>RSV</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Hannah Long</cp:lastModifiedBy>
  <cp:lastPrinted>2017-12-11T11:22:53Z</cp:lastPrinted>
  <dcterms:created xsi:type="dcterms:W3CDTF">2017-12-11T11:20:09Z</dcterms:created>
  <dcterms:modified xsi:type="dcterms:W3CDTF">2022-03-03T11:23:14Z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0x01010036361F09B21A804F824D0804817B9451</vt:lpwstr>
  </property>
  <property fmtid="{D5CDD505-2E9C-101B-9397-08002B2CF9AE}" pid="3" name="Order">
    <vt:r8>3064800</vt:r8>
  </property>
</Properties>
</file>